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ualsalarios2003" sheetId="1" r:id="rId1"/>
  </sheets>
  <definedNames>
    <definedName name="_xlnm.Print_Area" localSheetId="0">'Anualsalarios2003'!$A$1:$D$41</definedName>
  </definedNames>
  <calcPr fullCalcOnLoad="1"/>
</workbook>
</file>

<file path=xl/sharedStrings.xml><?xml version="1.0" encoding="utf-8"?>
<sst xmlns="http://schemas.openxmlformats.org/spreadsheetml/2006/main" count="105" uniqueCount="92">
  <si>
    <t>Cálculo del impuesto sobre la renta de los trabajadores para el año 2003</t>
  </si>
  <si>
    <t>Notas: Debido a los cambios</t>
  </si>
  <si>
    <t>Tarifa de impuesto del artículo 177</t>
  </si>
  <si>
    <t>Tabla de subsidio del artículo 178</t>
  </si>
  <si>
    <t>Tabla de crédito al salario anualizada SÓLO COMO REFERENCIA PORQUE ESTE AÑO NO EXISTE TABLA ANUAL</t>
  </si>
  <si>
    <t>de acuerdo con el artículo 116 de la Ley del Impuesto sobre la Renta</t>
  </si>
  <si>
    <t>en la Ley del ISR para 2003,</t>
  </si>
  <si>
    <t>este cálculo no se puede</t>
  </si>
  <si>
    <t>Ingresos</t>
  </si>
  <si>
    <t>Crédito</t>
  </si>
  <si>
    <t>Crédito al</t>
  </si>
  <si>
    <t>hacer hasta que haya pasado</t>
  </si>
  <si>
    <t>Año 2003</t>
  </si>
  <si>
    <t>desde</t>
  </si>
  <si>
    <t>hasta</t>
  </si>
  <si>
    <t>al salario</t>
  </si>
  <si>
    <t>salario</t>
  </si>
  <si>
    <t>el mes de diciembre, ya que</t>
  </si>
  <si>
    <t>Nombre del trabajador</t>
  </si>
  <si>
    <t>el crédito al salario "anual"</t>
  </si>
  <si>
    <t>Límite</t>
  </si>
  <si>
    <t>Cuota</t>
  </si>
  <si>
    <t>Porcentaje</t>
  </si>
  <si>
    <t>Impuesto</t>
  </si>
  <si>
    <t>Subsidio a</t>
  </si>
  <si>
    <t>Subsidio</t>
  </si>
  <si>
    <t>inferior</t>
  </si>
  <si>
    <t>superior</t>
  </si>
  <si>
    <t>fija</t>
  </si>
  <si>
    <t>marginal</t>
  </si>
  <si>
    <t>total</t>
  </si>
  <si>
    <t>imp.marg.</t>
  </si>
  <si>
    <t>Concepto del ingreso</t>
  </si>
  <si>
    <t>Monto total</t>
  </si>
  <si>
    <t>Parte exenta</t>
  </si>
  <si>
    <t>Monto gravable</t>
  </si>
  <si>
    <t>en los doce meses del año.</t>
  </si>
  <si>
    <t>Sueldos y salarios</t>
  </si>
  <si>
    <t>El resultado anual únicamente</t>
  </si>
  <si>
    <t>Horas extras</t>
  </si>
  <si>
    <t>tiene efectos cuando hay</t>
  </si>
  <si>
    <t>Fondo de ahorro</t>
  </si>
  <si>
    <t>ISR A CARGO y/o</t>
  </si>
  <si>
    <t>Previsión social</t>
  </si>
  <si>
    <t>ISR RETENIDO.</t>
  </si>
  <si>
    <t>Aguinaldo y gratificaciones</t>
  </si>
  <si>
    <t>Tanto el crédito al salario</t>
  </si>
  <si>
    <t>Vacaciones</t>
  </si>
  <si>
    <t>a favor anual como las can-</t>
  </si>
  <si>
    <t xml:space="preserve"> En adelante</t>
  </si>
  <si>
    <t>Prima vacacional</t>
  </si>
  <si>
    <t>PTU</t>
  </si>
  <si>
    <t>Otras remuneraciones</t>
  </si>
  <si>
    <t>el año no tienen ningún efecto</t>
  </si>
  <si>
    <t>En adelante</t>
  </si>
  <si>
    <t>Totales</t>
  </si>
  <si>
    <t>Impuesto según tarifa artículo 177</t>
  </si>
  <si>
    <t>Subsidio artículo 178</t>
  </si>
  <si>
    <t>del crédito CALCULADO en</t>
  </si>
  <si>
    <t xml:space="preserve">   Subsidio no acreditable</t>
  </si>
  <si>
    <t>cada uno de los meses del</t>
  </si>
  <si>
    <t xml:space="preserve">   Subsidio acreditable</t>
  </si>
  <si>
    <t>año. Atte.: Salvador.</t>
  </si>
  <si>
    <t>Impuesto neto</t>
  </si>
  <si>
    <t>Resultado de tabla anualizada</t>
  </si>
  <si>
    <t xml:space="preserve">   Suma del crédito al salario calculado mensualmente al trabajador</t>
  </si>
  <si>
    <t xml:space="preserve">   Crédito al salario calculado mensualmente según constancias de retención</t>
  </si>
  <si>
    <t>Impuesto sobre la renta a cargo del trabajador</t>
  </si>
  <si>
    <t xml:space="preserve">   Retenciones hechas al trabajador en el ejercicio</t>
  </si>
  <si>
    <t xml:space="preserve">   Impuesto acreditable según constancias de retención</t>
  </si>
  <si>
    <t>Datos generales:</t>
  </si>
  <si>
    <t>Proporción a que se refiere el artículo 114</t>
  </si>
  <si>
    <t>Zona económica del trabajador (A=1, B=2, C=3)</t>
  </si>
  <si>
    <t>Salario mínimo general diario</t>
  </si>
  <si>
    <t>(solamente como referencia:)</t>
  </si>
  <si>
    <r>
      <t xml:space="preserve">tidades </t>
    </r>
    <r>
      <rPr>
        <i/>
        <sz val="10"/>
        <color indexed="18"/>
        <rFont val="Arial"/>
        <family val="2"/>
      </rPr>
      <t>entregadas en efec-</t>
    </r>
  </si>
  <si>
    <r>
      <t>tivo</t>
    </r>
    <r>
      <rPr>
        <sz val="10"/>
        <color indexed="18"/>
        <rFont val="Arial"/>
        <family val="0"/>
      </rPr>
      <t xml:space="preserve"> por crédito al salario en</t>
    </r>
  </si>
  <si>
    <r>
      <t xml:space="preserve">es la suma del </t>
    </r>
    <r>
      <rPr>
        <u val="single"/>
        <sz val="10"/>
        <color indexed="18"/>
        <rFont val="Arial"/>
        <family val="2"/>
      </rPr>
      <t>calculado</t>
    </r>
  </si>
  <si>
    <t>Último comentario: el crédito</t>
  </si>
  <si>
    <t>resulta directamente de la</t>
  </si>
  <si>
    <t>tabla mensual de crédito al</t>
  </si>
  <si>
    <t>es el neto después de hacer</t>
  </si>
  <si>
    <t>el cálculo completo, es decir,</t>
  </si>
  <si>
    <t>el ISR disminuido del subsidio.</t>
  </si>
  <si>
    <t>después de aplicarlo contra</t>
  </si>
  <si>
    <r>
      <t xml:space="preserve">al salario </t>
    </r>
    <r>
      <rPr>
        <u val="single"/>
        <sz val="10"/>
        <color indexed="58"/>
        <rFont val="Arial"/>
        <family val="0"/>
      </rPr>
      <t>calculado</t>
    </r>
    <r>
      <rPr>
        <sz val="10"/>
        <color indexed="58"/>
        <rFont val="Arial"/>
        <family val="0"/>
      </rPr>
      <t xml:space="preserve"> es el que</t>
    </r>
  </si>
  <si>
    <r>
      <t xml:space="preserve">salario, y el </t>
    </r>
    <r>
      <rPr>
        <i/>
        <sz val="10"/>
        <color indexed="58"/>
        <rFont val="Arial"/>
        <family val="0"/>
      </rPr>
      <t>pagado</t>
    </r>
    <r>
      <rPr>
        <sz val="10"/>
        <color indexed="58"/>
        <rFont val="Arial"/>
        <family val="0"/>
      </rPr>
      <t xml:space="preserve"> o </t>
    </r>
    <r>
      <rPr>
        <i/>
        <sz val="10"/>
        <color indexed="58"/>
        <rFont val="Arial"/>
        <family val="0"/>
      </rPr>
      <t>entre-</t>
    </r>
  </si>
  <si>
    <r>
      <t>gado en efectivo</t>
    </r>
    <r>
      <rPr>
        <sz val="10"/>
        <color indexed="58"/>
        <rFont val="Arial"/>
        <family val="0"/>
      </rPr>
      <t xml:space="preserve"> al trabajador</t>
    </r>
  </si>
  <si>
    <t>Aquí se usará únicamente</t>
  </si>
  <si>
    <t>el CALCULADO.</t>
  </si>
  <si>
    <t>para este cálculo.</t>
  </si>
  <si>
    <t>Su efecto está en la suma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</si>
</sst>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sz val="10"/>
      <color indexed="60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58"/>
      <name val="Arial"/>
      <family val="0"/>
    </font>
    <font>
      <u val="single"/>
      <sz val="10"/>
      <color indexed="58"/>
      <name val="Arial"/>
      <family val="0"/>
    </font>
    <font>
      <i/>
      <sz val="10"/>
      <color indexed="5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10" fontId="0" fillId="0" borderId="0" xfId="19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2" xfId="0" applyBorder="1" applyAlignment="1">
      <alignment vertical="center" wrapText="1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4" xfId="0" applyBorder="1" applyAlignment="1">
      <alignment/>
    </xf>
    <xf numFmtId="10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4" fontId="0" fillId="0" borderId="6" xfId="0" applyBorder="1" applyAlignment="1">
      <alignment/>
    </xf>
    <xf numFmtId="4" fontId="0" fillId="0" borderId="7" xfId="0" applyBorder="1" applyAlignment="1">
      <alignment/>
    </xf>
    <xf numFmtId="4" fontId="0" fillId="0" borderId="0" xfId="0" applyAlignment="1">
      <alignment horizontal="lef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4" fontId="0" fillId="0" borderId="0" xfId="0" applyBorder="1" applyAlignment="1">
      <alignment/>
    </xf>
    <xf numFmtId="4" fontId="0" fillId="0" borderId="0" xfId="0" applyAlignment="1">
      <alignment horizontal="right"/>
    </xf>
    <xf numFmtId="4" fontId="1" fillId="0" borderId="0" xfId="0" applyFont="1" applyAlignment="1" quotePrefix="1">
      <alignment horizontal="left"/>
    </xf>
    <xf numFmtId="4" fontId="0" fillId="0" borderId="3" xfId="0" applyBorder="1" applyAlignment="1" quotePrefix="1">
      <alignment horizontal="left"/>
    </xf>
    <xf numFmtId="4" fontId="0" fillId="0" borderId="3" xfId="0" applyBorder="1" applyAlignment="1">
      <alignment horizontal="left"/>
    </xf>
    <xf numFmtId="4" fontId="0" fillId="0" borderId="6" xfId="0" applyBorder="1" applyAlignment="1" applyProtection="1">
      <alignment/>
      <protection locked="0"/>
    </xf>
    <xf numFmtId="4" fontId="0" fillId="0" borderId="8" xfId="0" applyBorder="1" applyAlignment="1" applyProtection="1">
      <alignment/>
      <protection locked="0"/>
    </xf>
    <xf numFmtId="4" fontId="2" fillId="0" borderId="9" xfId="0" applyFont="1" applyBorder="1" applyAlignment="1">
      <alignment/>
    </xf>
    <xf numFmtId="4" fontId="3" fillId="0" borderId="10" xfId="0" applyFont="1" applyBorder="1" applyAlignment="1">
      <alignment/>
    </xf>
    <xf numFmtId="4" fontId="2" fillId="0" borderId="5" xfId="0" applyFont="1" applyBorder="1" applyAlignment="1" quotePrefix="1">
      <alignment horizontal="left"/>
    </xf>
    <xf numFmtId="4" fontId="4" fillId="0" borderId="0" xfId="0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 horizontal="left"/>
    </xf>
    <xf numFmtId="4" fontId="4" fillId="0" borderId="0" xfId="0" applyFont="1" applyFill="1" applyBorder="1" applyAlignment="1">
      <alignment horizontal="left"/>
    </xf>
    <xf numFmtId="4" fontId="4" fillId="0" borderId="0" xfId="0" applyFont="1" applyFill="1" applyBorder="1" applyAlignment="1" quotePrefix="1">
      <alignment horizontal="left"/>
    </xf>
    <xf numFmtId="4" fontId="5" fillId="0" borderId="0" xfId="0" applyFont="1" applyFill="1" applyBorder="1" applyAlignment="1" quotePrefix="1">
      <alignment horizontal="left"/>
    </xf>
    <xf numFmtId="4" fontId="7" fillId="0" borderId="0" xfId="0" applyFont="1" applyAlignment="1">
      <alignment/>
    </xf>
    <xf numFmtId="4" fontId="7" fillId="0" borderId="0" xfId="0" applyFont="1" applyAlignment="1" quotePrefix="1">
      <alignment horizontal="left"/>
    </xf>
    <xf numFmtId="4" fontId="9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4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2.7109375" style="0" customWidth="1"/>
    <col min="2" max="4" width="16.7109375" style="0" customWidth="1"/>
    <col min="5" max="5" width="24.710937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9.7109375" style="0" customWidth="1"/>
    <col min="11" max="11" width="12.7109375" style="0" customWidth="1"/>
    <col min="12" max="12" width="9.7109375" style="0" customWidth="1"/>
    <col min="13" max="13" width="12.7109375" style="0" customWidth="1"/>
    <col min="14" max="14" width="18.7109375" style="0" customWidth="1"/>
    <col min="15" max="15" width="1.7109375" style="0" customWidth="1"/>
    <col min="16" max="21" width="12.7109375" style="0" customWidth="1"/>
    <col min="22" max="22" width="24.7109375" style="0" customWidth="1"/>
    <col min="23" max="23" width="1.7109375" style="0" customWidth="1"/>
    <col min="24" max="27" width="12.7109375" style="0" customWidth="1"/>
    <col min="28" max="16384" width="13.28125" style="0" customWidth="1"/>
  </cols>
  <sheetData>
    <row r="1" spans="1:24" ht="12.75">
      <c r="A1" s="2" t="s">
        <v>0</v>
      </c>
      <c r="B1" s="2"/>
      <c r="C1" s="2"/>
      <c r="D1" s="2"/>
      <c r="E1" s="32" t="s">
        <v>1</v>
      </c>
      <c r="G1" s="1" t="s">
        <v>2</v>
      </c>
      <c r="P1" s="1" t="s">
        <v>3</v>
      </c>
      <c r="X1" s="1" t="s">
        <v>4</v>
      </c>
    </row>
    <row r="2" spans="1:5" ht="12.75">
      <c r="A2" s="2" t="s">
        <v>5</v>
      </c>
      <c r="B2" s="2"/>
      <c r="C2" s="2"/>
      <c r="D2" s="2"/>
      <c r="E2" s="32" t="s">
        <v>6</v>
      </c>
    </row>
    <row r="3" spans="5:27" ht="12.75">
      <c r="E3" s="33" t="s">
        <v>7</v>
      </c>
      <c r="X3" t="s">
        <v>8</v>
      </c>
      <c r="Y3" t="s">
        <v>8</v>
      </c>
      <c r="Z3" t="s">
        <v>9</v>
      </c>
      <c r="AA3" t="s">
        <v>10</v>
      </c>
    </row>
    <row r="4" spans="5:27" ht="12.75">
      <c r="E4" s="33" t="s">
        <v>11</v>
      </c>
      <c r="G4" s="1" t="s">
        <v>12</v>
      </c>
      <c r="P4" t="str">
        <f>G4</f>
        <v>Año 2003</v>
      </c>
      <c r="X4" t="s">
        <v>13</v>
      </c>
      <c r="Y4" t="s">
        <v>14</v>
      </c>
      <c r="Z4" t="s">
        <v>15</v>
      </c>
      <c r="AA4" s="1" t="s">
        <v>16</v>
      </c>
    </row>
    <row r="5" spans="5:27" ht="12.75">
      <c r="E5" s="33" t="s">
        <v>17</v>
      </c>
      <c r="X5">
        <v>0.01</v>
      </c>
      <c r="Y5">
        <v>18793.68</v>
      </c>
      <c r="Z5">
        <v>4324.2</v>
      </c>
      <c r="AA5">
        <f>IF(AND(D18&gt;0,D18&lt;X6),Z5,0)</f>
        <v>0</v>
      </c>
    </row>
    <row r="6" spans="1:27" ht="12.75">
      <c r="A6" t="s">
        <v>18</v>
      </c>
      <c r="B6" s="18"/>
      <c r="D6" s="3">
        <f ca="1">TODAY()</f>
        <v>38100</v>
      </c>
      <c r="E6" s="33" t="s">
        <v>19</v>
      </c>
      <c r="G6" t="s">
        <v>20</v>
      </c>
      <c r="H6" t="s">
        <v>20</v>
      </c>
      <c r="I6" t="s">
        <v>21</v>
      </c>
      <c r="J6" t="s">
        <v>22</v>
      </c>
      <c r="K6" t="s">
        <v>23</v>
      </c>
      <c r="L6" t="s">
        <v>22</v>
      </c>
      <c r="M6" t="s">
        <v>23</v>
      </c>
      <c r="P6" t="s">
        <v>20</v>
      </c>
      <c r="Q6" t="s">
        <v>20</v>
      </c>
      <c r="R6" t="s">
        <v>21</v>
      </c>
      <c r="S6" t="s">
        <v>22</v>
      </c>
      <c r="T6" t="s">
        <v>24</v>
      </c>
      <c r="U6" t="s">
        <v>25</v>
      </c>
      <c r="X6">
        <v>18793.69</v>
      </c>
      <c r="Y6">
        <v>27672.6</v>
      </c>
      <c r="Z6">
        <v>4322.28</v>
      </c>
      <c r="AA6">
        <f>IF(AND(D18&gt;Y5,D18&lt;X7),Z6,0)</f>
        <v>0</v>
      </c>
    </row>
    <row r="7" spans="4:27" ht="12.75">
      <c r="D7" s="14">
        <f ca="1">NOW()</f>
        <v>38100.73942106481</v>
      </c>
      <c r="E7" s="33" t="s">
        <v>77</v>
      </c>
      <c r="G7" t="s">
        <v>26</v>
      </c>
      <c r="H7" t="s">
        <v>27</v>
      </c>
      <c r="I7" t="s">
        <v>28</v>
      </c>
      <c r="K7" s="1" t="s">
        <v>29</v>
      </c>
      <c r="M7" s="1" t="s">
        <v>30</v>
      </c>
      <c r="N7" s="1"/>
      <c r="P7" t="s">
        <v>26</v>
      </c>
      <c r="Q7" t="s">
        <v>27</v>
      </c>
      <c r="R7" t="s">
        <v>28</v>
      </c>
      <c r="T7" s="1" t="s">
        <v>31</v>
      </c>
      <c r="U7" s="1" t="s">
        <v>30</v>
      </c>
      <c r="V7" s="1"/>
      <c r="X7">
        <v>27672.61</v>
      </c>
      <c r="Y7">
        <v>28189.92</v>
      </c>
      <c r="Z7">
        <v>4322.28</v>
      </c>
      <c r="AA7">
        <f>IF(AND(D18&gt;Y6,D18&lt;X8),Z7,0)</f>
        <v>0</v>
      </c>
    </row>
    <row r="8" spans="1:27" ht="12.75">
      <c r="A8" s="7" t="s">
        <v>32</v>
      </c>
      <c r="B8" s="6" t="s">
        <v>33</v>
      </c>
      <c r="C8" s="6" t="s">
        <v>34</v>
      </c>
      <c r="D8" s="10" t="s">
        <v>35</v>
      </c>
      <c r="E8" s="34" t="s">
        <v>36</v>
      </c>
      <c r="G8">
        <v>0.01</v>
      </c>
      <c r="H8">
        <v>5270.28</v>
      </c>
      <c r="I8">
        <v>0</v>
      </c>
      <c r="J8" s="5">
        <v>0.03</v>
      </c>
      <c r="K8">
        <f>IF(D18&lt;G9,D18*J8,0)</f>
        <v>0</v>
      </c>
      <c r="L8" s="5">
        <v>0.03</v>
      </c>
      <c r="M8">
        <f>IF(D18&lt;G9,K8+I8,0)</f>
        <v>0</v>
      </c>
      <c r="P8">
        <v>0.01</v>
      </c>
      <c r="Q8">
        <v>5270.28</v>
      </c>
      <c r="R8">
        <v>0</v>
      </c>
      <c r="S8" s="5">
        <v>0.5</v>
      </c>
      <c r="T8">
        <f>IF(D18&lt;P9,D18*I17*S8,0)</f>
        <v>0</v>
      </c>
      <c r="U8">
        <f>IF(D18&lt;P9,R8+T8,0)</f>
        <v>0</v>
      </c>
      <c r="X8">
        <v>28189.93</v>
      </c>
      <c r="Y8">
        <v>36896.04</v>
      </c>
      <c r="Z8">
        <v>4320</v>
      </c>
      <c r="AA8">
        <f>IF(AND(D18&gt;Y7,D18&lt;X9),Z8,0)</f>
        <v>0</v>
      </c>
    </row>
    <row r="9" spans="1:27" ht="12.75">
      <c r="A9" s="8" t="s">
        <v>37</v>
      </c>
      <c r="B9" s="18"/>
      <c r="C9" s="18"/>
      <c r="D9" s="11">
        <f aca="true" t="shared" si="0" ref="D9:D17">IF(B9&lt;C9,0,B9-C9)</f>
        <v>0</v>
      </c>
      <c r="E9" s="35" t="s">
        <v>38</v>
      </c>
      <c r="G9">
        <v>5270.29</v>
      </c>
      <c r="H9">
        <v>44732.16</v>
      </c>
      <c r="I9">
        <v>158.04</v>
      </c>
      <c r="J9" s="5">
        <v>0.1</v>
      </c>
      <c r="K9">
        <f>IF(AND(D18&gt;H8,D18&lt;G10),(D18-G9)*J9,0)</f>
        <v>0</v>
      </c>
      <c r="L9" s="5">
        <v>0.1</v>
      </c>
      <c r="M9">
        <f>IF(AND(D18&gt;H8,D18&lt;G10),K9+I9,0)</f>
        <v>0</v>
      </c>
      <c r="P9">
        <v>5270.29</v>
      </c>
      <c r="Q9">
        <v>44732.16</v>
      </c>
      <c r="R9">
        <v>79.08</v>
      </c>
      <c r="S9" s="5">
        <v>0.5</v>
      </c>
      <c r="T9">
        <f>IF(AND(D18&gt;Q8,D18&lt;P10),(D18-P9)*$I$17*S9,0)</f>
        <v>0</v>
      </c>
      <c r="U9">
        <f>IF(AND(D18&gt;Q8,D18&lt;P10),R9+T9,0)</f>
        <v>0</v>
      </c>
      <c r="X9">
        <v>36896.05</v>
      </c>
      <c r="Y9">
        <v>37586.88</v>
      </c>
      <c r="Z9">
        <v>4172.88</v>
      </c>
      <c r="AA9">
        <f>IF(AND(D18&gt;Y8,D18&lt;X10),Z9,0)</f>
        <v>0</v>
      </c>
    </row>
    <row r="10" spans="1:27" ht="12.75">
      <c r="A10" s="8" t="s">
        <v>39</v>
      </c>
      <c r="B10" s="18"/>
      <c r="C10" s="18"/>
      <c r="D10" s="11">
        <f t="shared" si="0"/>
        <v>0</v>
      </c>
      <c r="E10" s="36" t="s">
        <v>40</v>
      </c>
      <c r="G10">
        <v>44732.17</v>
      </c>
      <c r="H10">
        <v>78612.72</v>
      </c>
      <c r="I10">
        <v>4104.24</v>
      </c>
      <c r="J10" s="5">
        <v>0.17</v>
      </c>
      <c r="K10">
        <f>IF(AND(D18&gt;H9,D18&lt;G11),(D18-G10)*J10,0)</f>
        <v>0</v>
      </c>
      <c r="L10" s="5">
        <v>0.17</v>
      </c>
      <c r="M10">
        <f>IF(AND(D18&gt;H9,D18&lt;G11),K10+I10,0)</f>
        <v>0</v>
      </c>
      <c r="P10">
        <v>44732.17</v>
      </c>
      <c r="Q10">
        <v>78612.72</v>
      </c>
      <c r="R10">
        <v>2052.24</v>
      </c>
      <c r="S10" s="5">
        <v>0.5</v>
      </c>
      <c r="T10">
        <f>IF(AND(D18&gt;Q9,D18&lt;P11),(D18-P10)*$I$17*S10,0)</f>
        <v>0</v>
      </c>
      <c r="U10">
        <f>IF(AND(D18&gt;Q9,D18&lt;P11),R10+T10,0)</f>
        <v>0</v>
      </c>
      <c r="X10">
        <v>37586.89</v>
      </c>
      <c r="Y10">
        <v>40218.24</v>
      </c>
      <c r="Z10">
        <v>4063.32</v>
      </c>
      <c r="AA10">
        <f>IF(AND(D18&gt;Y9,D18&lt;X11),Z10,0)</f>
        <v>0</v>
      </c>
    </row>
    <row r="11" spans="1:27" ht="12.75">
      <c r="A11" s="8" t="s">
        <v>41</v>
      </c>
      <c r="B11" s="18"/>
      <c r="C11">
        <f>IF(C41*1.3*365&lt;B11,C41*1.3*365,B11)</f>
        <v>0</v>
      </c>
      <c r="D11" s="11">
        <f t="shared" si="0"/>
        <v>0</v>
      </c>
      <c r="E11" s="36" t="s">
        <v>42</v>
      </c>
      <c r="G11">
        <v>78612.73</v>
      </c>
      <c r="H11">
        <v>91383.84</v>
      </c>
      <c r="I11">
        <v>9864.12</v>
      </c>
      <c r="J11" s="5">
        <v>0.25</v>
      </c>
      <c r="K11">
        <f>IF(AND(D18&gt;H10,D18&lt;G12),(D18-G11)*J11,0)</f>
        <v>0</v>
      </c>
      <c r="L11" s="5">
        <v>0.25</v>
      </c>
      <c r="M11">
        <f>IF(AND(D18&gt;H10,D18&lt;G12),K11+I11,0)</f>
        <v>0</v>
      </c>
      <c r="P11">
        <v>78612.73</v>
      </c>
      <c r="Q11">
        <v>91383.84</v>
      </c>
      <c r="R11">
        <v>4931.64</v>
      </c>
      <c r="S11" s="5">
        <v>0.5</v>
      </c>
      <c r="T11">
        <f>IF(AND(D18&gt;Q10,D18&lt;P12),(D18-P11)*$I$17*S11,0)</f>
        <v>0</v>
      </c>
      <c r="U11">
        <f>IF(AND(D18&gt;Q10,D18&lt;P12),R11+T11,0)</f>
        <v>0</v>
      </c>
      <c r="X11">
        <v>40218.25</v>
      </c>
      <c r="Y11">
        <v>47236.68</v>
      </c>
      <c r="Z11">
        <v>4063.32</v>
      </c>
      <c r="AA11">
        <f>IF(AND(D18&gt;Y10,D18&lt;X12),Z11,0)</f>
        <v>0</v>
      </c>
    </row>
    <row r="12" spans="1:27" ht="12.75">
      <c r="A12" s="8" t="s">
        <v>43</v>
      </c>
      <c r="B12" s="18"/>
      <c r="C12">
        <f>IF(C41*365*7-SUM(B9:B10)&lt;C41*365,IF(C41*365&gt;B12,B12,C41*365),IF(C41*365*7-SUM(B9:B10)&gt;B12,B12,C41*365*7-SUM(B9:B10)))</f>
        <v>0</v>
      </c>
      <c r="D12" s="11">
        <f t="shared" si="0"/>
        <v>0</v>
      </c>
      <c r="E12" s="35" t="s">
        <v>44</v>
      </c>
      <c r="G12">
        <v>91383.85</v>
      </c>
      <c r="H12">
        <v>109411.44</v>
      </c>
      <c r="I12">
        <v>13056.84</v>
      </c>
      <c r="J12" s="5">
        <v>0.32</v>
      </c>
      <c r="K12">
        <f>IF(AND(D18&gt;H11,D18&lt;G13),(D18-G12)*J12,0)</f>
        <v>0</v>
      </c>
      <c r="L12" s="5">
        <v>0.32</v>
      </c>
      <c r="M12">
        <f>IF(AND(D18&gt;H11,D18&lt;G13),K12+I12,0)</f>
        <v>0</v>
      </c>
      <c r="P12">
        <v>91383.85</v>
      </c>
      <c r="Q12">
        <v>109411.44</v>
      </c>
      <c r="R12">
        <v>6528.48</v>
      </c>
      <c r="S12" s="5">
        <v>0.5</v>
      </c>
      <c r="T12">
        <f>IF(AND(D18&gt;Q11,D18&lt;P13),(D18-P12)*$I$17*S12,0)</f>
        <v>0</v>
      </c>
      <c r="U12">
        <f>IF(AND(D18&gt;Q11,D18&lt;P13),R12+T12,0)</f>
        <v>0</v>
      </c>
      <c r="X12">
        <v>47236.69</v>
      </c>
      <c r="Y12">
        <v>50116.08</v>
      </c>
      <c r="Z12">
        <v>3763.44</v>
      </c>
      <c r="AA12">
        <f>IF(AND(D18&gt;Y11,D18&lt;X13),Z12,0)</f>
        <v>0</v>
      </c>
    </row>
    <row r="13" spans="1:27" ht="12.75">
      <c r="A13" s="25" t="s">
        <v>45</v>
      </c>
      <c r="B13" s="18"/>
      <c r="C13">
        <f>IF(C41*30&lt;B13,C41*30,B13)</f>
        <v>0</v>
      </c>
      <c r="D13" s="11">
        <f t="shared" si="0"/>
        <v>0</v>
      </c>
      <c r="E13" s="35" t="s">
        <v>46</v>
      </c>
      <c r="G13">
        <v>109411.45</v>
      </c>
      <c r="H13">
        <v>220667.04</v>
      </c>
      <c r="I13">
        <v>18825.6</v>
      </c>
      <c r="J13" s="5">
        <v>0.33</v>
      </c>
      <c r="K13">
        <f>IF(AND(D18&gt;H12,D18&lt;G14),(D18-G13)*J13,0)</f>
        <v>0</v>
      </c>
      <c r="L13" s="5">
        <v>0.33</v>
      </c>
      <c r="M13">
        <f>IF(AND(D18&gt;H12,D18&lt;G14),K13+I13,0)</f>
        <v>0</v>
      </c>
      <c r="P13">
        <v>109411.45</v>
      </c>
      <c r="Q13">
        <v>220667.04</v>
      </c>
      <c r="R13">
        <v>9412.68</v>
      </c>
      <c r="S13" s="5">
        <v>0.4</v>
      </c>
      <c r="T13">
        <f>IF(AND(D18&gt;Q12,D18&lt;P14),(D18-P13)*$I$17*S13,0)</f>
        <v>0</v>
      </c>
      <c r="U13">
        <f>IF(AND(D18&gt;Q12,D18&lt;P14),R13+T13,0)</f>
        <v>0</v>
      </c>
      <c r="X13">
        <v>50116.09</v>
      </c>
      <c r="Y13">
        <v>56684.4</v>
      </c>
      <c r="Z13">
        <v>3451.44</v>
      </c>
      <c r="AA13">
        <f>IF(AND(D18&gt;Y12,D18&lt;X14),Z13,0)</f>
        <v>0</v>
      </c>
    </row>
    <row r="14" spans="1:27" ht="12.75">
      <c r="A14" s="26" t="s">
        <v>47</v>
      </c>
      <c r="B14" s="18"/>
      <c r="D14" s="11">
        <f t="shared" si="0"/>
        <v>0</v>
      </c>
      <c r="E14" s="35" t="s">
        <v>48</v>
      </c>
      <c r="G14">
        <v>220667.05</v>
      </c>
      <c r="H14" s="23" t="s">
        <v>49</v>
      </c>
      <c r="I14">
        <v>55539.96</v>
      </c>
      <c r="J14" s="5">
        <v>0.34</v>
      </c>
      <c r="K14">
        <f>IF(D18&gt;H13,(D18-G14)*J14,0)</f>
        <v>0</v>
      </c>
      <c r="L14" s="5">
        <v>0.34</v>
      </c>
      <c r="M14">
        <f>IF(D18&gt;H13,K14+I14,0)</f>
        <v>0</v>
      </c>
      <c r="P14">
        <v>220667.05</v>
      </c>
      <c r="Q14">
        <v>347801.64</v>
      </c>
      <c r="R14">
        <v>24098.64</v>
      </c>
      <c r="S14" s="5">
        <v>0.3</v>
      </c>
      <c r="T14">
        <f>IF(AND(D18&gt;Q13,D18&lt;P15),(D18-P14)*$I$17*S14,0)</f>
        <v>0</v>
      </c>
      <c r="U14">
        <f>IF(AND(D18&gt;Q13,D18&lt;P15),R14+T14,0)</f>
        <v>0</v>
      </c>
      <c r="X14">
        <v>56684.41</v>
      </c>
      <c r="Y14">
        <v>66132</v>
      </c>
      <c r="Z14">
        <v>3130.2</v>
      </c>
      <c r="AA14">
        <f>IF(AND(D18&gt;Y13,D18&lt;X15),Z14,0)</f>
        <v>0</v>
      </c>
    </row>
    <row r="15" spans="1:27" ht="12.75">
      <c r="A15" s="8" t="s">
        <v>50</v>
      </c>
      <c r="B15" s="18"/>
      <c r="C15">
        <f>IF(C41*15&lt;B15,C41*15,B15)</f>
        <v>0</v>
      </c>
      <c r="D15" s="11">
        <f t="shared" si="0"/>
        <v>0</v>
      </c>
      <c r="E15" s="36" t="s">
        <v>75</v>
      </c>
      <c r="P15">
        <v>347801.65</v>
      </c>
      <c r="Q15" s="23" t="s">
        <v>49</v>
      </c>
      <c r="R15">
        <v>37066.32</v>
      </c>
      <c r="S15" s="5">
        <v>0</v>
      </c>
      <c r="T15">
        <f>IF(D18&gt;Q14,(D18-P15)*$I$17*S15,0)</f>
        <v>0</v>
      </c>
      <c r="U15">
        <f>IF(D18&gt;Q14,R15+T15,0)</f>
        <v>0</v>
      </c>
      <c r="X15">
        <v>66132.01</v>
      </c>
      <c r="Y15">
        <v>75579.24</v>
      </c>
      <c r="Z15">
        <v>2693.64</v>
      </c>
      <c r="AA15">
        <f>IF(AND(D18&gt;Y14,D18&lt;X16),Z15,0)</f>
        <v>0</v>
      </c>
    </row>
    <row r="16" spans="1:27" ht="12.75">
      <c r="A16" s="8" t="s">
        <v>51</v>
      </c>
      <c r="B16" s="18"/>
      <c r="C16">
        <f>IF(C41*15&lt;B16,C41*15,B16)</f>
        <v>0</v>
      </c>
      <c r="D16" s="11">
        <f t="shared" si="0"/>
        <v>0</v>
      </c>
      <c r="E16" s="37" t="s">
        <v>76</v>
      </c>
      <c r="J16" s="5"/>
      <c r="K16">
        <f>SUM(K8:K15)</f>
        <v>0</v>
      </c>
      <c r="M16">
        <f>SUM(M8:M15)</f>
        <v>0</v>
      </c>
      <c r="T16">
        <f>SUM(T8:T15)</f>
        <v>0</v>
      </c>
      <c r="U16">
        <f>SUM(U8:U15)</f>
        <v>0</v>
      </c>
      <c r="X16">
        <v>75579.25</v>
      </c>
      <c r="Y16">
        <v>78431.16</v>
      </c>
      <c r="Z16">
        <v>2311.92</v>
      </c>
      <c r="AA16">
        <f>IF(AND(D18&gt;Y15,D18&lt;X17),Z16,0)</f>
        <v>0</v>
      </c>
    </row>
    <row r="17" spans="1:27" ht="12.75">
      <c r="A17" s="25" t="s">
        <v>52</v>
      </c>
      <c r="B17" s="18"/>
      <c r="D17" s="11">
        <f t="shared" si="0"/>
        <v>0</v>
      </c>
      <c r="E17" s="36" t="s">
        <v>53</v>
      </c>
      <c r="H17" s="23"/>
      <c r="I17" s="13">
        <f>VLOOKUP(K16,K8:L17,2)</f>
        <v>0.03</v>
      </c>
      <c r="J17" s="5"/>
      <c r="X17">
        <v>78431.17</v>
      </c>
      <c r="Y17" s="23" t="s">
        <v>54</v>
      </c>
      <c r="Z17">
        <v>1888.92</v>
      </c>
      <c r="AA17">
        <f>IF(D18&gt;Y16,Z17,0)</f>
        <v>0</v>
      </c>
    </row>
    <row r="18" spans="1:27" ht="12.75">
      <c r="A18" s="9" t="s">
        <v>55</v>
      </c>
      <c r="B18" s="4">
        <f>SUM(B9:B17)</f>
        <v>0</v>
      </c>
      <c r="C18" s="4">
        <f>SUM(C9:C17)</f>
        <v>0</v>
      </c>
      <c r="D18" s="12">
        <f>SUM(D9:D17)</f>
        <v>0</v>
      </c>
      <c r="E18" s="36" t="s">
        <v>90</v>
      </c>
      <c r="AA18">
        <f>SUM(AA5:AA17)</f>
        <v>0</v>
      </c>
    </row>
    <row r="19" ht="12.75">
      <c r="E19" s="36" t="s">
        <v>91</v>
      </c>
    </row>
    <row r="20" spans="1:5" ht="12.75">
      <c r="A20" s="1" t="s">
        <v>56</v>
      </c>
      <c r="D20">
        <f>ROUND(M16,2)</f>
        <v>0</v>
      </c>
      <c r="E20" s="36" t="s">
        <v>58</v>
      </c>
    </row>
    <row r="21" spans="1:5" ht="12.75">
      <c r="A21" s="1" t="s">
        <v>57</v>
      </c>
      <c r="C21">
        <f>ROUND(U16,2)</f>
        <v>0</v>
      </c>
      <c r="E21" s="36" t="s">
        <v>60</v>
      </c>
    </row>
    <row r="22" spans="1:5" ht="12.75">
      <c r="A22" s="1" t="s">
        <v>59</v>
      </c>
      <c r="C22" s="15">
        <f>ROUND(C21*2*(1-C39),2)</f>
        <v>0</v>
      </c>
      <c r="E22" s="36" t="s">
        <v>62</v>
      </c>
    </row>
    <row r="23" spans="1:4" ht="12.75">
      <c r="A23" s="1" t="s">
        <v>61</v>
      </c>
      <c r="D23">
        <f>C21-C22</f>
        <v>0</v>
      </c>
    </row>
    <row r="24" spans="1:5" ht="12.75">
      <c r="A24" s="1" t="s">
        <v>63</v>
      </c>
      <c r="D24" s="16">
        <f>D20-D23</f>
        <v>0</v>
      </c>
      <c r="E24" s="29" t="s">
        <v>64</v>
      </c>
    </row>
    <row r="25" spans="1:5" ht="12.75">
      <c r="A25" s="1" t="s">
        <v>65</v>
      </c>
      <c r="D25" s="22"/>
      <c r="E25" s="31" t="s">
        <v>74</v>
      </c>
    </row>
    <row r="26" spans="1:5" ht="12.75">
      <c r="A26" s="1" t="s">
        <v>66</v>
      </c>
      <c r="C26" s="19"/>
      <c r="D26" s="18"/>
      <c r="E26" s="30">
        <f>AA18</f>
        <v>0</v>
      </c>
    </row>
    <row r="27" spans="1:4" ht="12.75">
      <c r="A27" s="17" t="s">
        <v>67</v>
      </c>
      <c r="B27" s="18"/>
      <c r="C27" s="18"/>
      <c r="D27" s="16">
        <f>IF(D24&lt;SUM(D25:D26),0,D24-SUM(D25:D26))</f>
        <v>0</v>
      </c>
    </row>
    <row r="28" spans="1:5" ht="12.75">
      <c r="A28" t="s">
        <v>68</v>
      </c>
      <c r="C28" s="18"/>
      <c r="D28" s="18"/>
      <c r="E28" s="38" t="s">
        <v>78</v>
      </c>
    </row>
    <row r="29" spans="1:5" ht="12.75">
      <c r="A29" t="s">
        <v>69</v>
      </c>
      <c r="C29" s="18"/>
      <c r="D29" s="27"/>
      <c r="E29" s="39" t="s">
        <v>85</v>
      </c>
    </row>
    <row r="30" spans="1:5" ht="13.5" thickBot="1">
      <c r="A30" t="str">
        <f>IF(D30&lt;0,"Saldo a favor de impuesto sobre la renta:","Impuesto sobre la renta a retener:")</f>
        <v>Impuesto sobre la renta a retener:</v>
      </c>
      <c r="C30" s="18"/>
      <c r="D30" s="28">
        <f>D27-SUM(D28:D29)</f>
        <v>0</v>
      </c>
      <c r="E30" s="39" t="s">
        <v>79</v>
      </c>
    </row>
    <row r="31" spans="3:5" ht="13.5" thickTop="1">
      <c r="C31" s="18"/>
      <c r="D31" s="18"/>
      <c r="E31" s="38" t="s">
        <v>80</v>
      </c>
    </row>
    <row r="32" spans="3:5" ht="12.75">
      <c r="C32" s="18"/>
      <c r="D32" s="18"/>
      <c r="E32" s="39" t="s">
        <v>86</v>
      </c>
    </row>
    <row r="33" spans="3:5" ht="12.75">
      <c r="C33" s="18"/>
      <c r="D33" s="18"/>
      <c r="E33" s="40" t="s">
        <v>87</v>
      </c>
    </row>
    <row r="34" spans="3:5" ht="12.75">
      <c r="C34" s="18"/>
      <c r="D34" s="18"/>
      <c r="E34" s="38" t="s">
        <v>81</v>
      </c>
    </row>
    <row r="35" spans="3:5" ht="12.75">
      <c r="C35" s="18"/>
      <c r="D35" s="18"/>
      <c r="E35" s="38" t="s">
        <v>82</v>
      </c>
    </row>
    <row r="36" spans="3:5" ht="12.75">
      <c r="C36" s="18"/>
      <c r="D36" s="18"/>
      <c r="E36" s="39" t="s">
        <v>84</v>
      </c>
    </row>
    <row r="37" spans="3:5" ht="12.75">
      <c r="C37" s="18"/>
      <c r="D37" s="18"/>
      <c r="E37" s="39" t="s">
        <v>83</v>
      </c>
    </row>
    <row r="38" spans="1:5" ht="12.75">
      <c r="A38" s="24" t="s">
        <v>70</v>
      </c>
      <c r="C38" s="18"/>
      <c r="E38" s="39" t="s">
        <v>88</v>
      </c>
    </row>
    <row r="39" spans="1:5" ht="12.75">
      <c r="A39" s="1" t="s">
        <v>71</v>
      </c>
      <c r="C39" s="21">
        <v>0.9</v>
      </c>
      <c r="E39" s="39" t="s">
        <v>89</v>
      </c>
    </row>
    <row r="40" spans="1:3" ht="12.75">
      <c r="A40" s="1" t="s">
        <v>72</v>
      </c>
      <c r="C40" s="20">
        <v>2</v>
      </c>
    </row>
    <row r="41" spans="1:3" ht="12.75">
      <c r="A41" t="s">
        <v>73</v>
      </c>
      <c r="C41">
        <f>IF(C40=1,43.65,IF(C40=2,41.85,IF(C40=3,40.3,IF(C40=10,42.15,IF(C40=20,40.1,IF(C40=30,38.3,"ERROR EN ZONA"))))))</f>
        <v>41.85</v>
      </c>
    </row>
  </sheetData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2003-12-11T15:59:55Z</cp:lastPrinted>
  <dcterms:modified xsi:type="dcterms:W3CDTF">2004-04-23T22:44:48Z</dcterms:modified>
  <cp:category/>
  <cp:version/>
  <cp:contentType/>
  <cp:contentStatus/>
</cp:coreProperties>
</file>