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nualsalarios2005" sheetId="1" r:id="rId1"/>
  </sheets>
  <definedNames>
    <definedName name="_xlnm.Print_Area" localSheetId="0">'Anualsalarios2005'!$A$1:$D$45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C11" authorId="0">
      <text>
        <r>
          <rPr>
            <sz val="8"/>
            <rFont val="Tahoma"/>
            <family val="0"/>
          </rPr>
          <t>ART. 31 FRACC. XII QUINTO PÁRRAFO DE LA LEY DEL ISR</t>
        </r>
      </text>
    </comment>
    <comment ref="C12" authorId="0">
      <text>
        <r>
          <rPr>
            <sz val="8"/>
            <rFont val="Tahoma"/>
            <family val="0"/>
          </rPr>
          <t>ART. 109 PENÚLTIMO PÁRRAFO DE LA LEY DEL ISR</t>
        </r>
      </text>
    </comment>
    <comment ref="C13" authorId="0">
      <text>
        <r>
          <rPr>
            <sz val="8"/>
            <rFont val="Tahoma"/>
            <family val="0"/>
          </rPr>
          <t>ART. 109 FRACC. XI DE LA LEY DEL ISR</t>
        </r>
      </text>
    </comment>
    <comment ref="C15" authorId="0">
      <text>
        <r>
          <rPr>
            <sz val="8"/>
            <rFont val="Tahoma"/>
            <family val="0"/>
          </rPr>
          <t>ART. 109 FRACC. XI DE LA LEY DEL ISR</t>
        </r>
      </text>
    </comment>
    <comment ref="C16" authorId="0">
      <text>
        <r>
          <rPr>
            <sz val="8"/>
            <rFont val="Tahoma"/>
            <family val="0"/>
          </rPr>
          <t>ART. 109 FRACC. XI DE LA LEY DEL ISR</t>
        </r>
      </text>
    </comment>
  </commentList>
</comments>
</file>

<file path=xl/sharedStrings.xml><?xml version="1.0" encoding="utf-8"?>
<sst xmlns="http://schemas.openxmlformats.org/spreadsheetml/2006/main" count="122" uniqueCount="106">
  <si>
    <t>Notas: Debido a los cambios</t>
  </si>
  <si>
    <t>Tarifa artículo 177</t>
  </si>
  <si>
    <t>Tabla artículo 178</t>
  </si>
  <si>
    <t>de acuerdo con el artículo 116 de la Ley del Impuesto sobre la Renta</t>
  </si>
  <si>
    <t>en la Ley del ISR para 2003,</t>
  </si>
  <si>
    <t>este cálculo no se puede</t>
  </si>
  <si>
    <t>Ingresos</t>
  </si>
  <si>
    <t>Crédito</t>
  </si>
  <si>
    <t>Crédito al</t>
  </si>
  <si>
    <t>hacer hasta que haya pasado</t>
  </si>
  <si>
    <t>desde</t>
  </si>
  <si>
    <t>hasta</t>
  </si>
  <si>
    <t>al salario</t>
  </si>
  <si>
    <t>salario</t>
  </si>
  <si>
    <t>el mes de diciembre, ya que</t>
  </si>
  <si>
    <t>Nombre del trabajador</t>
  </si>
  <si>
    <t>el crédito al salario "anual"</t>
  </si>
  <si>
    <t>Límite</t>
  </si>
  <si>
    <t>Cuota</t>
  </si>
  <si>
    <t>Porcentaje</t>
  </si>
  <si>
    <t>Impuesto</t>
  </si>
  <si>
    <t>Subsidio a</t>
  </si>
  <si>
    <t>Subsidio</t>
  </si>
  <si>
    <r>
      <t xml:space="preserve">es la suma del </t>
    </r>
    <r>
      <rPr>
        <u val="single"/>
        <sz val="10"/>
        <color indexed="18"/>
        <rFont val="Arial"/>
        <family val="2"/>
      </rPr>
      <t>calculado</t>
    </r>
  </si>
  <si>
    <t>inferior</t>
  </si>
  <si>
    <t>superior</t>
  </si>
  <si>
    <t>fija</t>
  </si>
  <si>
    <t>marginal 1</t>
  </si>
  <si>
    <t>total 1</t>
  </si>
  <si>
    <t>imp.marg.1</t>
  </si>
  <si>
    <t>Concepto del ingreso</t>
  </si>
  <si>
    <t>Monto total</t>
  </si>
  <si>
    <t>Parte exenta</t>
  </si>
  <si>
    <t>Monto gravable</t>
  </si>
  <si>
    <t>en los doce meses del año.</t>
  </si>
  <si>
    <t>Sueldos y salarios</t>
  </si>
  <si>
    <t>El resultado anual únicamente</t>
  </si>
  <si>
    <t>Horas extras</t>
  </si>
  <si>
    <t>tiene efectos cuando hay</t>
  </si>
  <si>
    <t>Fondo de ahorro</t>
  </si>
  <si>
    <t>ISR A CARGO y/o</t>
  </si>
  <si>
    <t>Previsión social</t>
  </si>
  <si>
    <t>ISR RETENIDO.</t>
  </si>
  <si>
    <t xml:space="preserve"> En adelante</t>
  </si>
  <si>
    <t>Aguinaldo y gratificaciones</t>
  </si>
  <si>
    <t>Tanto el crédito al salario</t>
  </si>
  <si>
    <t>Vacaciones</t>
  </si>
  <si>
    <t>a favor anual como las can-</t>
  </si>
  <si>
    <t>Prima vacacional</t>
  </si>
  <si>
    <r>
      <t xml:space="preserve">tidades </t>
    </r>
    <r>
      <rPr>
        <i/>
        <sz val="10"/>
        <color indexed="18"/>
        <rFont val="Arial"/>
        <family val="2"/>
      </rPr>
      <t>entregadas en efec-</t>
    </r>
  </si>
  <si>
    <t>PTU</t>
  </si>
  <si>
    <r>
      <t>tivo</t>
    </r>
    <r>
      <rPr>
        <sz val="10"/>
        <color indexed="18"/>
        <rFont val="Arial"/>
        <family val="0"/>
      </rPr>
      <t xml:space="preserve"> por crédito al salario en</t>
    </r>
  </si>
  <si>
    <t>Otras remuneraciones</t>
  </si>
  <si>
    <t>el año no tienen ningún efecto</t>
  </si>
  <si>
    <t>para este cálculo.</t>
  </si>
  <si>
    <t>Su efecto está en la suma</t>
  </si>
  <si>
    <t>Totales</t>
  </si>
  <si>
    <t>del crédito CALCULADO en</t>
  </si>
  <si>
    <t>cada uno de los meses del</t>
  </si>
  <si>
    <t>Impuesto según tarifa artículo 177</t>
  </si>
  <si>
    <t>año.</t>
  </si>
  <si>
    <t>Subsidio artículo 178</t>
  </si>
  <si>
    <t xml:space="preserve">   Subsidio no acreditable</t>
  </si>
  <si>
    <t>Resultado de tabla anualizada</t>
  </si>
  <si>
    <t xml:space="preserve">   Subsidio acreditable</t>
  </si>
  <si>
    <t>(solamente como referencia:)</t>
  </si>
  <si>
    <t>Impuesto neto</t>
  </si>
  <si>
    <t xml:space="preserve">   Suma del crédito al salario calculado mensualmente al trabajador</t>
  </si>
  <si>
    <t xml:space="preserve">   Crédito al salario calculado mensualmente según constancias de retención</t>
  </si>
  <si>
    <t>Último comentario: el crédito</t>
  </si>
  <si>
    <t>Impuesto sobre la renta a cargo del trabajador</t>
  </si>
  <si>
    <r>
      <t xml:space="preserve">al salario </t>
    </r>
    <r>
      <rPr>
        <u val="single"/>
        <sz val="10"/>
        <color indexed="58"/>
        <rFont val="Arial"/>
        <family val="0"/>
      </rPr>
      <t>calculado</t>
    </r>
    <r>
      <rPr>
        <sz val="10"/>
        <color indexed="58"/>
        <rFont val="Arial"/>
        <family val="0"/>
      </rPr>
      <t xml:space="preserve"> es el que</t>
    </r>
  </si>
  <si>
    <t xml:space="preserve">   Retenciones hechas al trabajador en el ejercicio</t>
  </si>
  <si>
    <t>resulta directamente de la</t>
  </si>
  <si>
    <t xml:space="preserve">   Impuesto acreditable según constancias de retención</t>
  </si>
  <si>
    <t>tabla mensual de crédito al</t>
  </si>
  <si>
    <r>
      <t xml:space="preserve">salario, y el </t>
    </r>
    <r>
      <rPr>
        <i/>
        <sz val="10"/>
        <color indexed="58"/>
        <rFont val="Arial"/>
        <family val="0"/>
      </rPr>
      <t>pagado</t>
    </r>
    <r>
      <rPr>
        <sz val="10"/>
        <color indexed="58"/>
        <rFont val="Arial"/>
        <family val="0"/>
      </rPr>
      <t xml:space="preserve"> o </t>
    </r>
    <r>
      <rPr>
        <i/>
        <sz val="10"/>
        <color indexed="58"/>
        <rFont val="Arial"/>
        <family val="0"/>
      </rPr>
      <t>entre-</t>
    </r>
  </si>
  <si>
    <r>
      <t>gado en efectivo</t>
    </r>
    <r>
      <rPr>
        <sz val="10"/>
        <color indexed="58"/>
        <rFont val="Arial"/>
        <family val="0"/>
      </rPr>
      <t xml:space="preserve"> al trabajador</t>
    </r>
  </si>
  <si>
    <t>es el neto después de hacer</t>
  </si>
  <si>
    <t>el cálculo completo, es decir,</t>
  </si>
  <si>
    <t>después de aplicarlo contra</t>
  </si>
  <si>
    <t>el ISR disminuido del subsidio.</t>
  </si>
  <si>
    <t>Aquí se usará únicamente</t>
  </si>
  <si>
    <t>el CALCULADO.</t>
  </si>
  <si>
    <t>Datos generales:</t>
  </si>
  <si>
    <t>Proporción a que se refiere el artículo 114</t>
  </si>
  <si>
    <t>Zona económica del trabajador (A=1, B=2, C=3)</t>
  </si>
  <si>
    <t>Salario mínimo general diario</t>
  </si>
  <si>
    <t>posibilidad de devolverles en</t>
  </si>
  <si>
    <t>efectivo los saldos a favor a los</t>
  </si>
  <si>
    <t>trabajadores contra la retención</t>
  </si>
  <si>
    <t>hecha a otros, como dice la Ley,</t>
  </si>
  <si>
    <t>la primera semana de enero,</t>
  </si>
  <si>
    <t>con un cheque que reserven para</t>
  </si>
  <si>
    <t>eso y que tenga fecha de diciembre.</t>
  </si>
  <si>
    <t>hasta que pasó el año, y al mismo</t>
  </si>
  <si>
    <t>tiempo se puede compensar contra</t>
  </si>
  <si>
    <t>diciembre.</t>
  </si>
  <si>
    <t>se puede hacer el cálculo anual</t>
  </si>
  <si>
    <t>lo retenido a otros durante el mes de</t>
  </si>
  <si>
    <t>Está fundamentado, ya que no</t>
  </si>
  <si>
    <t>Cálculo del impuesto sobre la renta de los trabajadores para el año 2006</t>
  </si>
  <si>
    <t>Año 2006</t>
  </si>
  <si>
    <t>Crédito al salario anualizado 2006</t>
  </si>
  <si>
    <t>Para empresas con nómina semanal (muy variable):</t>
  </si>
  <si>
    <t>Existe la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</si>
</sst>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</numFmts>
  <fonts count="16">
    <font>
      <sz val="10"/>
      <name val="Arial"/>
      <family val="0"/>
    </font>
    <font>
      <b/>
      <sz val="10"/>
      <name val="Arial"/>
      <family val="0"/>
    </font>
    <font>
      <sz val="10"/>
      <color indexed="60"/>
      <name val="Arial"/>
      <family val="0"/>
    </font>
    <font>
      <sz val="10"/>
      <color indexed="10"/>
      <name val="Arial"/>
      <family val="0"/>
    </font>
    <font>
      <sz val="10"/>
      <color indexed="18"/>
      <name val="Arial"/>
      <family val="0"/>
    </font>
    <font>
      <i/>
      <sz val="10"/>
      <color indexed="18"/>
      <name val="Arial"/>
      <family val="2"/>
    </font>
    <font>
      <u val="single"/>
      <sz val="10"/>
      <color indexed="18"/>
      <name val="Arial"/>
      <family val="2"/>
    </font>
    <font>
      <sz val="10"/>
      <color indexed="58"/>
      <name val="Arial"/>
      <family val="0"/>
    </font>
    <font>
      <u val="single"/>
      <sz val="10"/>
      <color indexed="58"/>
      <name val="Arial"/>
      <family val="0"/>
    </font>
    <font>
      <i/>
      <sz val="10"/>
      <color indexed="58"/>
      <name val="Arial"/>
      <family val="0"/>
    </font>
    <font>
      <sz val="8"/>
      <name val="Tahoma"/>
      <family val="0"/>
    </font>
    <font>
      <b/>
      <sz val="10"/>
      <color indexed="5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5" fontId="0" fillId="0" borderId="0" xfId="0" applyNumberFormat="1" applyAlignment="1">
      <alignment/>
    </xf>
    <xf numFmtId="4" fontId="0" fillId="0" borderId="1" xfId="0" applyBorder="1" applyAlignment="1">
      <alignment/>
    </xf>
    <xf numFmtId="10" fontId="0" fillId="0" borderId="0" xfId="21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2" xfId="0" applyBorder="1" applyAlignment="1">
      <alignment vertical="center" wrapText="1"/>
    </xf>
    <xf numFmtId="4" fontId="0" fillId="0" borderId="3" xfId="0" applyBorder="1" applyAlignment="1">
      <alignment/>
    </xf>
    <xf numFmtId="4" fontId="0" fillId="0" borderId="2" xfId="0" applyBorder="1" applyAlignment="1">
      <alignment/>
    </xf>
    <xf numFmtId="4" fontId="0" fillId="0" borderId="4" xfId="0" applyBorder="1" applyAlignment="1">
      <alignment horizontal="center" vertical="center" wrapText="1"/>
    </xf>
    <xf numFmtId="4" fontId="0" fillId="0" borderId="5" xfId="0" applyBorder="1" applyAlignment="1">
      <alignment/>
    </xf>
    <xf numFmtId="4" fontId="0" fillId="0" borderId="4" xfId="0" applyBorder="1" applyAlignment="1">
      <alignment/>
    </xf>
    <xf numFmtId="10" fontId="0" fillId="0" borderId="0" xfId="0" applyNumberFormat="1" applyAlignment="1" applyProtection="1">
      <alignment/>
      <protection/>
    </xf>
    <xf numFmtId="20" fontId="0" fillId="0" borderId="0" xfId="0" applyNumberFormat="1" applyAlignment="1">
      <alignment/>
    </xf>
    <xf numFmtId="4" fontId="0" fillId="0" borderId="6" xfId="0" applyBorder="1" applyAlignment="1">
      <alignment/>
    </xf>
    <xf numFmtId="4" fontId="0" fillId="0" borderId="7" xfId="0" applyBorder="1" applyAlignment="1">
      <alignment/>
    </xf>
    <xf numFmtId="4" fontId="0" fillId="0" borderId="0" xfId="0" applyAlignment="1">
      <alignment horizontal="left"/>
    </xf>
    <xf numFmtId="4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4" fontId="0" fillId="0" borderId="0" xfId="0" applyBorder="1" applyAlignment="1">
      <alignment/>
    </xf>
    <xf numFmtId="4" fontId="0" fillId="0" borderId="0" xfId="0" applyAlignment="1">
      <alignment horizontal="right"/>
    </xf>
    <xf numFmtId="4" fontId="1" fillId="0" borderId="0" xfId="0" applyFont="1" applyAlignment="1" quotePrefix="1">
      <alignment horizontal="left"/>
    </xf>
    <xf numFmtId="4" fontId="0" fillId="0" borderId="3" xfId="0" applyBorder="1" applyAlignment="1" quotePrefix="1">
      <alignment horizontal="left"/>
    </xf>
    <xf numFmtId="4" fontId="0" fillId="0" borderId="3" xfId="0" applyBorder="1" applyAlignment="1">
      <alignment horizontal="left"/>
    </xf>
    <xf numFmtId="4" fontId="0" fillId="0" borderId="6" xfId="0" applyBorder="1" applyAlignment="1" applyProtection="1">
      <alignment/>
      <protection locked="0"/>
    </xf>
    <xf numFmtId="4" fontId="0" fillId="0" borderId="8" xfId="0" applyBorder="1" applyAlignment="1" applyProtection="1">
      <alignment/>
      <protection locked="0"/>
    </xf>
    <xf numFmtId="4" fontId="2" fillId="0" borderId="9" xfId="0" applyFont="1" applyBorder="1" applyAlignment="1">
      <alignment/>
    </xf>
    <xf numFmtId="4" fontId="3" fillId="0" borderId="10" xfId="0" applyFont="1" applyBorder="1" applyAlignment="1">
      <alignment/>
    </xf>
    <xf numFmtId="4" fontId="2" fillId="0" borderId="5" xfId="0" applyFont="1" applyBorder="1" applyAlignment="1" quotePrefix="1">
      <alignment horizontal="left"/>
    </xf>
    <xf numFmtId="4" fontId="4" fillId="0" borderId="0" xfId="0" applyFont="1" applyAlignment="1">
      <alignment/>
    </xf>
    <xf numFmtId="4" fontId="4" fillId="0" borderId="0" xfId="0" applyFont="1" applyAlignment="1" quotePrefix="1">
      <alignment horizontal="left"/>
    </xf>
    <xf numFmtId="4" fontId="4" fillId="0" borderId="0" xfId="0" applyFont="1" applyAlignment="1">
      <alignment horizontal="left"/>
    </xf>
    <xf numFmtId="4" fontId="4" fillId="0" borderId="0" xfId="0" applyFont="1" applyFill="1" applyBorder="1" applyAlignment="1">
      <alignment horizontal="left"/>
    </xf>
    <xf numFmtId="4" fontId="4" fillId="0" borderId="0" xfId="0" applyFont="1" applyFill="1" applyBorder="1" applyAlignment="1" quotePrefix="1">
      <alignment horizontal="left"/>
    </xf>
    <xf numFmtId="4" fontId="5" fillId="0" borderId="0" xfId="0" applyFont="1" applyFill="1" applyBorder="1" applyAlignment="1" quotePrefix="1">
      <alignment horizontal="left"/>
    </xf>
    <xf numFmtId="4" fontId="7" fillId="0" borderId="0" xfId="0" applyFont="1" applyAlignment="1">
      <alignment/>
    </xf>
    <xf numFmtId="4" fontId="7" fillId="0" borderId="0" xfId="0" applyFont="1" applyAlignment="1" quotePrefix="1">
      <alignment horizontal="left"/>
    </xf>
    <xf numFmtId="4" fontId="9" fillId="0" borderId="0" xfId="0" applyFont="1" applyAlignment="1" quotePrefix="1">
      <alignment horizontal="left"/>
    </xf>
    <xf numFmtId="4" fontId="11" fillId="0" borderId="0" xfId="0" applyFont="1" applyAlignment="1">
      <alignment horizontal="left"/>
    </xf>
    <xf numFmtId="4" fontId="11" fillId="0" borderId="0" xfId="0" applyFont="1" applyAlignment="1" quotePrefix="1">
      <alignment horizontal="left"/>
    </xf>
    <xf numFmtId="4" fontId="14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54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2.7109375" style="0" customWidth="1"/>
    <col min="2" max="4" width="16.7109375" style="0" customWidth="1"/>
    <col min="5" max="5" width="24.7109375" style="0" customWidth="1"/>
    <col min="6" max="6" width="1.7109375" style="0" customWidth="1"/>
    <col min="7" max="8" width="12.7109375" style="0" customWidth="1"/>
    <col min="9" max="9" width="11.7109375" style="0" customWidth="1"/>
    <col min="10" max="10" width="9.7109375" style="0" customWidth="1"/>
    <col min="11" max="11" width="12.7109375" style="0" customWidth="1"/>
    <col min="12" max="12" width="9.7109375" style="0" customWidth="1"/>
    <col min="13" max="13" width="12.7109375" style="0" customWidth="1"/>
    <col min="14" max="14" width="22.7109375" style="0" customWidth="1"/>
    <col min="15" max="15" width="1.7109375" style="0" customWidth="1"/>
    <col min="16" max="21" width="12.7109375" style="0" customWidth="1"/>
    <col min="22" max="22" width="28.7109375" style="0" customWidth="1"/>
    <col min="23" max="23" width="1.7109375" style="0" customWidth="1"/>
    <col min="24" max="27" width="12.7109375" style="0" customWidth="1"/>
    <col min="28" max="16384" width="13.28125" style="0" customWidth="1"/>
  </cols>
  <sheetData>
    <row r="1" spans="1:24" ht="12.75">
      <c r="A1" s="2" t="s">
        <v>101</v>
      </c>
      <c r="B1" s="2"/>
      <c r="C1" s="2"/>
      <c r="D1" s="2"/>
      <c r="E1" s="32" t="s">
        <v>0</v>
      </c>
      <c r="G1" s="1" t="s">
        <v>1</v>
      </c>
      <c r="P1" s="1" t="s">
        <v>2</v>
      </c>
      <c r="X1" s="1" t="s">
        <v>103</v>
      </c>
    </row>
    <row r="2" spans="1:5" ht="12.75">
      <c r="A2" s="2" t="s">
        <v>3</v>
      </c>
      <c r="B2" s="2"/>
      <c r="C2" s="2"/>
      <c r="D2" s="2"/>
      <c r="E2" s="32" t="s">
        <v>4</v>
      </c>
    </row>
    <row r="3" spans="5:27" ht="12.75">
      <c r="E3" s="33" t="s">
        <v>5</v>
      </c>
      <c r="X3" t="s">
        <v>6</v>
      </c>
      <c r="Y3" t="s">
        <v>6</v>
      </c>
      <c r="Z3" t="s">
        <v>7</v>
      </c>
      <c r="AA3" t="s">
        <v>8</v>
      </c>
    </row>
    <row r="4" spans="5:27" ht="12.75">
      <c r="E4" s="33" t="s">
        <v>9</v>
      </c>
      <c r="G4" s="1" t="s">
        <v>102</v>
      </c>
      <c r="P4" s="1" t="str">
        <f>G4</f>
        <v>Año 2006</v>
      </c>
      <c r="X4" t="s">
        <v>10</v>
      </c>
      <c r="Y4" t="s">
        <v>11</v>
      </c>
      <c r="Z4" t="s">
        <v>12</v>
      </c>
      <c r="AA4" s="1" t="s">
        <v>13</v>
      </c>
    </row>
    <row r="5" spans="5:27" ht="12.75">
      <c r="E5" s="33" t="s">
        <v>14</v>
      </c>
      <c r="X5">
        <v>0.01</v>
      </c>
      <c r="Y5">
        <v>21227.52</v>
      </c>
      <c r="Z5">
        <v>4884.24</v>
      </c>
      <c r="AA5">
        <f>IF(AND($D$20&gt;0,$D$20&lt;X6),Z5,0)</f>
        <v>0</v>
      </c>
    </row>
    <row r="6" spans="1:27" ht="12.75">
      <c r="A6" t="s">
        <v>15</v>
      </c>
      <c r="B6" s="18"/>
      <c r="D6" s="3">
        <f ca="1">TODAY()</f>
        <v>39027</v>
      </c>
      <c r="E6" s="33" t="s">
        <v>16</v>
      </c>
      <c r="G6" t="s">
        <v>17</v>
      </c>
      <c r="H6" t="s">
        <v>17</v>
      </c>
      <c r="I6" t="s">
        <v>18</v>
      </c>
      <c r="J6" t="s">
        <v>19</v>
      </c>
      <c r="K6" t="s">
        <v>20</v>
      </c>
      <c r="L6" t="s">
        <v>19</v>
      </c>
      <c r="M6" t="s">
        <v>20</v>
      </c>
      <c r="P6" t="s">
        <v>17</v>
      </c>
      <c r="Q6" t="s">
        <v>17</v>
      </c>
      <c r="R6" t="s">
        <v>18</v>
      </c>
      <c r="S6" t="s">
        <v>19</v>
      </c>
      <c r="T6" t="s">
        <v>21</v>
      </c>
      <c r="U6" t="s">
        <v>22</v>
      </c>
      <c r="X6">
        <f>0.01+Y5</f>
        <v>21227.53</v>
      </c>
      <c r="Y6">
        <v>31256.16</v>
      </c>
      <c r="Z6">
        <v>4881.96</v>
      </c>
      <c r="AA6">
        <f aca="true" t="shared" si="0" ref="AA6:AA16">IF(AND($D$20&gt;Y5,$D$20&lt;X7),Z6,0)</f>
        <v>0</v>
      </c>
    </row>
    <row r="7" spans="4:27" ht="12.75">
      <c r="D7" s="14">
        <f ca="1">NOW()</f>
        <v>39027.46813912037</v>
      </c>
      <c r="E7" s="33" t="s">
        <v>23</v>
      </c>
      <c r="G7" t="s">
        <v>24</v>
      </c>
      <c r="H7" t="s">
        <v>25</v>
      </c>
      <c r="I7" t="s">
        <v>26</v>
      </c>
      <c r="K7" t="s">
        <v>27</v>
      </c>
      <c r="M7" t="s">
        <v>28</v>
      </c>
      <c r="P7" t="s">
        <v>24</v>
      </c>
      <c r="Q7" t="s">
        <v>25</v>
      </c>
      <c r="R7" t="s">
        <v>26</v>
      </c>
      <c r="T7" s="1" t="s">
        <v>29</v>
      </c>
      <c r="U7" s="1" t="s">
        <v>28</v>
      </c>
      <c r="V7" s="1"/>
      <c r="X7">
        <f aca="true" t="shared" si="1" ref="X7:X17">0.01+Y6</f>
        <v>31256.17</v>
      </c>
      <c r="Y7">
        <v>31840.56</v>
      </c>
      <c r="Z7">
        <v>4881.96</v>
      </c>
      <c r="AA7">
        <f t="shared" si="0"/>
        <v>0</v>
      </c>
    </row>
    <row r="8" spans="1:27" ht="12.75">
      <c r="A8" s="7" t="s">
        <v>30</v>
      </c>
      <c r="B8" s="6" t="s">
        <v>31</v>
      </c>
      <c r="C8" s="6" t="s">
        <v>32</v>
      </c>
      <c r="D8" s="10" t="s">
        <v>33</v>
      </c>
      <c r="E8" s="34" t="s">
        <v>34</v>
      </c>
      <c r="G8">
        <v>0.01</v>
      </c>
      <c r="H8">
        <v>5952.84</v>
      </c>
      <c r="I8">
        <v>0</v>
      </c>
      <c r="J8" s="5">
        <v>0.03</v>
      </c>
      <c r="K8">
        <f>IF($D$20&lt;G9,$D$20*J8,0)</f>
        <v>0</v>
      </c>
      <c r="L8" s="5">
        <v>0.03</v>
      </c>
      <c r="M8">
        <f>IF($D$20&lt;G9,K8+I8,0)</f>
        <v>0</v>
      </c>
      <c r="P8">
        <v>0.01</v>
      </c>
      <c r="Q8">
        <v>5952.84</v>
      </c>
      <c r="R8">
        <v>0</v>
      </c>
      <c r="S8" s="5">
        <v>0.5</v>
      </c>
      <c r="T8">
        <f>IF(K8&gt;0,K8*S8,0)</f>
        <v>0</v>
      </c>
      <c r="U8">
        <f>IF($D$20&lt;P9,R8+T8,0)</f>
        <v>0</v>
      </c>
      <c r="X8">
        <f t="shared" si="1"/>
        <v>31840.57</v>
      </c>
      <c r="Y8">
        <v>41674.08</v>
      </c>
      <c r="Z8">
        <v>4879.44</v>
      </c>
      <c r="AA8">
        <f t="shared" si="0"/>
        <v>0</v>
      </c>
    </row>
    <row r="9" spans="1:27" ht="12.75">
      <c r="A9" s="8" t="s">
        <v>35</v>
      </c>
      <c r="B9" s="18"/>
      <c r="C9" s="18"/>
      <c r="D9" s="11">
        <f>IF(B9&lt;C9,0,B9-C9)</f>
        <v>0</v>
      </c>
      <c r="E9" s="35" t="s">
        <v>36</v>
      </c>
      <c r="G9">
        <f>0.01+H8</f>
        <v>5952.85</v>
      </c>
      <c r="H9">
        <v>50524.92</v>
      </c>
      <c r="I9">
        <v>178.56</v>
      </c>
      <c r="J9" s="5">
        <v>0.1</v>
      </c>
      <c r="K9">
        <f>IF(AND($D$20&gt;H8,$D$20&lt;G10),($D$20-G9)*J9,0)</f>
        <v>0</v>
      </c>
      <c r="L9" s="5">
        <v>0.1</v>
      </c>
      <c r="M9">
        <f>IF(AND($D$20&gt;H8,$D$20&lt;G10),K9+I9,0)</f>
        <v>0</v>
      </c>
      <c r="P9">
        <f>0.01+Q8</f>
        <v>5952.85</v>
      </c>
      <c r="Q9">
        <v>50524.92</v>
      </c>
      <c r="R9">
        <v>89.28</v>
      </c>
      <c r="S9" s="5">
        <v>0.5</v>
      </c>
      <c r="T9">
        <f>IF(K9&gt;0,K9*S9,0)</f>
        <v>0</v>
      </c>
      <c r="U9">
        <f aca="true" t="shared" si="2" ref="U9:U14">IF(AND($D$20&gt;Q8,$D$20&lt;P10),R9+T9,0)</f>
        <v>0</v>
      </c>
      <c r="X9">
        <f t="shared" si="1"/>
        <v>41674.090000000004</v>
      </c>
      <c r="Y9">
        <v>42454.44</v>
      </c>
      <c r="Z9">
        <v>4713.24</v>
      </c>
      <c r="AA9">
        <f t="shared" si="0"/>
        <v>0</v>
      </c>
    </row>
    <row r="10" spans="1:27" ht="12.75">
      <c r="A10" s="8" t="s">
        <v>37</v>
      </c>
      <c r="B10" s="18"/>
      <c r="C10" s="18"/>
      <c r="D10" s="11">
        <f aca="true" t="shared" si="3" ref="D10:D19">IF(B10&lt;C10,0,B10-C10)</f>
        <v>0</v>
      </c>
      <c r="E10" s="36" t="s">
        <v>38</v>
      </c>
      <c r="G10">
        <f>0.01+H9</f>
        <v>50524.93</v>
      </c>
      <c r="H10">
        <v>88793.04</v>
      </c>
      <c r="I10">
        <v>4635.72</v>
      </c>
      <c r="J10" s="5">
        <v>0.17</v>
      </c>
      <c r="K10">
        <f>IF(AND($D$20&gt;H9,$D$20&lt;G11),($D$20-G10)*J10,0)</f>
        <v>0</v>
      </c>
      <c r="L10" s="5">
        <v>0.17</v>
      </c>
      <c r="M10">
        <f>IF(AND($D$20&gt;H9,$D$20&lt;G11),K10+I10,0)</f>
        <v>0</v>
      </c>
      <c r="P10">
        <f aca="true" t="shared" si="4" ref="P10:P15">0.01+Q9</f>
        <v>50524.93</v>
      </c>
      <c r="Q10">
        <v>88793.04</v>
      </c>
      <c r="R10">
        <v>2318.04</v>
      </c>
      <c r="S10" s="5">
        <v>0.5</v>
      </c>
      <c r="T10">
        <f>IF(K10&gt;0,K10*S10,0)</f>
        <v>0</v>
      </c>
      <c r="U10">
        <f t="shared" si="2"/>
        <v>0</v>
      </c>
      <c r="X10">
        <f t="shared" si="1"/>
        <v>42454.450000000004</v>
      </c>
      <c r="Y10">
        <v>45426.48</v>
      </c>
      <c r="Z10">
        <v>4589.52</v>
      </c>
      <c r="AA10">
        <f t="shared" si="0"/>
        <v>0</v>
      </c>
    </row>
    <row r="11" spans="1:27" ht="12.75">
      <c r="A11" s="8" t="s">
        <v>39</v>
      </c>
      <c r="B11" s="18"/>
      <c r="C11">
        <f>IF(C45*1.3*365&lt;B11,C45*1.3*365,B11)</f>
        <v>0</v>
      </c>
      <c r="D11" s="11">
        <f t="shared" si="3"/>
        <v>0</v>
      </c>
      <c r="E11" s="36" t="s">
        <v>40</v>
      </c>
      <c r="G11">
        <f>0.01+H10</f>
        <v>88793.04999999999</v>
      </c>
      <c r="H11">
        <v>103218</v>
      </c>
      <c r="I11">
        <v>11141.52</v>
      </c>
      <c r="J11" s="5">
        <v>0.25</v>
      </c>
      <c r="K11">
        <f>IF(AND($D$20&gt;H10,$D$20&lt;G12),($D$20-G11)*J11,0)</f>
        <v>0</v>
      </c>
      <c r="L11" s="5">
        <v>0.25</v>
      </c>
      <c r="M11">
        <f>IF(AND($D$20&gt;H10,$D$20&lt;G12),K11+I11,0)</f>
        <v>0</v>
      </c>
      <c r="P11">
        <f t="shared" si="4"/>
        <v>88793.04999999999</v>
      </c>
      <c r="Q11">
        <v>103218</v>
      </c>
      <c r="R11">
        <v>5570.28</v>
      </c>
      <c r="S11" s="5">
        <v>0.5</v>
      </c>
      <c r="T11">
        <f>IF(K11&gt;0,K11*S11,0)</f>
        <v>0</v>
      </c>
      <c r="U11">
        <f t="shared" si="2"/>
        <v>0</v>
      </c>
      <c r="X11">
        <f t="shared" si="1"/>
        <v>45426.490000000005</v>
      </c>
      <c r="Y11">
        <v>53353.8</v>
      </c>
      <c r="Z11">
        <v>4589.52</v>
      </c>
      <c r="AA11">
        <f t="shared" si="0"/>
        <v>0</v>
      </c>
    </row>
    <row r="12" spans="1:27" ht="12.75">
      <c r="A12" s="8" t="s">
        <v>41</v>
      </c>
      <c r="B12" s="18"/>
      <c r="C12">
        <f>IF(C45*365*7-SUM(B9:B10)&lt;C45*365,IF(C45*365&gt;B12,B12,C45*365),IF(C45*365*7-SUM(B9:B10)&gt;B12,B12,C45*365*7-SUM(B9:B10)))</f>
        <v>0</v>
      </c>
      <c r="D12" s="11">
        <f t="shared" si="3"/>
        <v>0</v>
      </c>
      <c r="E12" s="35" t="s">
        <v>42</v>
      </c>
      <c r="G12">
        <f>0.01+H11</f>
        <v>103218.01</v>
      </c>
      <c r="H12" s="23" t="s">
        <v>43</v>
      </c>
      <c r="I12">
        <v>14747.76</v>
      </c>
      <c r="J12" s="5">
        <v>0.29</v>
      </c>
      <c r="K12">
        <f>IF($D$20&gt;H11,($D$20-G12)*J12,0)</f>
        <v>0</v>
      </c>
      <c r="L12" s="5">
        <v>0.29</v>
      </c>
      <c r="M12">
        <f>IF($D$20&gt;H11,K12+I12,0)</f>
        <v>0</v>
      </c>
      <c r="P12">
        <f t="shared" si="4"/>
        <v>103218.01</v>
      </c>
      <c r="Q12">
        <v>123580.2</v>
      </c>
      <c r="R12">
        <v>7373.88</v>
      </c>
      <c r="S12" s="5">
        <v>0.5</v>
      </c>
      <c r="T12">
        <f>IF(AND($D$20&gt;Q11,$D$20&lt;P13),($D$20-P12)*J12*S12,0)</f>
        <v>0</v>
      </c>
      <c r="U12">
        <f t="shared" si="2"/>
        <v>0</v>
      </c>
      <c r="X12">
        <f t="shared" si="1"/>
        <v>53353.810000000005</v>
      </c>
      <c r="Y12">
        <v>56606.16</v>
      </c>
      <c r="Z12">
        <v>4250.76</v>
      </c>
      <c r="AA12">
        <f t="shared" si="0"/>
        <v>0</v>
      </c>
    </row>
    <row r="13" spans="1:27" ht="12.75">
      <c r="A13" s="25" t="s">
        <v>44</v>
      </c>
      <c r="B13" s="18"/>
      <c r="C13">
        <f>IF(C45*30&lt;B13,C45*30,B13)</f>
        <v>0</v>
      </c>
      <c r="D13" s="11">
        <f t="shared" si="3"/>
        <v>0</v>
      </c>
      <c r="E13" s="35" t="s">
        <v>45</v>
      </c>
      <c r="H13" s="23"/>
      <c r="J13" s="5"/>
      <c r="K13">
        <f>SUM(K8:K12)</f>
        <v>0</v>
      </c>
      <c r="L13" s="5"/>
      <c r="M13">
        <f>SUM(M8:M12)</f>
        <v>0</v>
      </c>
      <c r="P13">
        <f t="shared" si="4"/>
        <v>123580.20999999999</v>
      </c>
      <c r="Q13">
        <v>249243.48</v>
      </c>
      <c r="R13">
        <v>10326.36</v>
      </c>
      <c r="S13" s="5">
        <v>0.4</v>
      </c>
      <c r="T13">
        <f>IF(AND($D$20&gt;Q12,$D$20&lt;P14),($D$20-P13)*J12*S13,0)</f>
        <v>0</v>
      </c>
      <c r="U13">
        <f t="shared" si="2"/>
        <v>0</v>
      </c>
      <c r="X13">
        <f t="shared" si="1"/>
        <v>56606.170000000006</v>
      </c>
      <c r="Y13">
        <v>64025.04</v>
      </c>
      <c r="Z13">
        <v>3898.44</v>
      </c>
      <c r="AA13">
        <f t="shared" si="0"/>
        <v>0</v>
      </c>
    </row>
    <row r="14" spans="1:27" ht="12.75">
      <c r="A14" s="26" t="s">
        <v>46</v>
      </c>
      <c r="B14" s="18"/>
      <c r="D14" s="11">
        <f t="shared" si="3"/>
        <v>0</v>
      </c>
      <c r="E14" s="35" t="s">
        <v>47</v>
      </c>
      <c r="P14">
        <f t="shared" si="4"/>
        <v>249243.49000000002</v>
      </c>
      <c r="Q14">
        <v>392841.96</v>
      </c>
      <c r="R14">
        <v>24903.24</v>
      </c>
      <c r="S14" s="5">
        <v>0.3</v>
      </c>
      <c r="T14">
        <f>IF(AND($D$20&gt;Q13,$D$20&lt;P15),($D$20-P14)*J12*S14,0)</f>
        <v>0</v>
      </c>
      <c r="U14">
        <f t="shared" si="2"/>
        <v>0</v>
      </c>
      <c r="X14">
        <f t="shared" si="1"/>
        <v>64025.05</v>
      </c>
      <c r="Y14">
        <v>74696.04</v>
      </c>
      <c r="Z14">
        <v>3535.56</v>
      </c>
      <c r="AA14">
        <f t="shared" si="0"/>
        <v>0</v>
      </c>
    </row>
    <row r="15" spans="1:27" ht="12.75">
      <c r="A15" s="8" t="s">
        <v>48</v>
      </c>
      <c r="B15" s="18"/>
      <c r="C15">
        <f>IF(C45*15&lt;B15,C45*15,B15)</f>
        <v>0</v>
      </c>
      <c r="D15" s="11">
        <f t="shared" si="3"/>
        <v>0</v>
      </c>
      <c r="E15" s="36" t="s">
        <v>49</v>
      </c>
      <c r="I15" s="13"/>
      <c r="P15">
        <f t="shared" si="4"/>
        <v>392841.97000000003</v>
      </c>
      <c r="Q15" s="23" t="s">
        <v>43</v>
      </c>
      <c r="R15">
        <v>37396.32</v>
      </c>
      <c r="S15" s="5">
        <v>0</v>
      </c>
      <c r="T15">
        <v>0</v>
      </c>
      <c r="U15">
        <f>IF($D$20&gt;Q14,R15+T15,0)</f>
        <v>0</v>
      </c>
      <c r="X15">
        <f t="shared" si="1"/>
        <v>74696.04999999999</v>
      </c>
      <c r="Y15">
        <v>85366.8</v>
      </c>
      <c r="Z15">
        <v>3042.48</v>
      </c>
      <c r="AA15">
        <f t="shared" si="0"/>
        <v>0</v>
      </c>
    </row>
    <row r="16" spans="1:27" ht="12.75">
      <c r="A16" s="8" t="s">
        <v>50</v>
      </c>
      <c r="B16" s="18"/>
      <c r="C16">
        <f>IF(C45*15&lt;B16,C45*15,B16)</f>
        <v>0</v>
      </c>
      <c r="D16" s="11">
        <f t="shared" si="3"/>
        <v>0</v>
      </c>
      <c r="E16" s="37" t="s">
        <v>51</v>
      </c>
      <c r="T16">
        <f>SUM(T8:T15)</f>
        <v>0</v>
      </c>
      <c r="U16">
        <f>SUM(U8:U15)</f>
        <v>0</v>
      </c>
      <c r="X16">
        <f t="shared" si="1"/>
        <v>85366.81</v>
      </c>
      <c r="Y16">
        <v>88587.96</v>
      </c>
      <c r="Z16">
        <v>2611.32</v>
      </c>
      <c r="AA16">
        <f t="shared" si="0"/>
        <v>0</v>
      </c>
    </row>
    <row r="17" spans="1:27" ht="12.75">
      <c r="A17" s="25" t="s">
        <v>52</v>
      </c>
      <c r="B17" s="18"/>
      <c r="D17" s="11">
        <f t="shared" si="3"/>
        <v>0</v>
      </c>
      <c r="E17" s="36" t="s">
        <v>53</v>
      </c>
      <c r="J17" s="13"/>
      <c r="X17">
        <f t="shared" si="1"/>
        <v>88587.97</v>
      </c>
      <c r="Y17" s="23" t="s">
        <v>43</v>
      </c>
      <c r="Z17">
        <v>0</v>
      </c>
      <c r="AA17">
        <f>IF($D$20&gt;Y16,Z17,0)</f>
        <v>0</v>
      </c>
    </row>
    <row r="18" spans="1:27" ht="12.75">
      <c r="A18" s="25" t="s">
        <v>52</v>
      </c>
      <c r="B18" s="18"/>
      <c r="D18" s="11">
        <f t="shared" si="3"/>
        <v>0</v>
      </c>
      <c r="E18" s="36" t="s">
        <v>54</v>
      </c>
      <c r="AA18">
        <f>SUM(AA5:AA17)</f>
        <v>0</v>
      </c>
    </row>
    <row r="19" spans="1:5" ht="12.75">
      <c r="A19" s="25" t="s">
        <v>52</v>
      </c>
      <c r="B19" s="18"/>
      <c r="D19" s="11">
        <f t="shared" si="3"/>
        <v>0</v>
      </c>
      <c r="E19" s="36" t="s">
        <v>55</v>
      </c>
    </row>
    <row r="20" spans="1:5" ht="12.75">
      <c r="A20" s="9" t="s">
        <v>56</v>
      </c>
      <c r="B20" s="4">
        <f>SUM(B9:B19)</f>
        <v>0</v>
      </c>
      <c r="C20" s="4">
        <f>SUM(C9:C19)</f>
        <v>0</v>
      </c>
      <c r="D20" s="12">
        <f>SUM(D9:D19)</f>
        <v>0</v>
      </c>
      <c r="E20" s="36" t="s">
        <v>57</v>
      </c>
    </row>
    <row r="21" ht="12.75">
      <c r="E21" s="36" t="s">
        <v>58</v>
      </c>
    </row>
    <row r="22" spans="1:5" ht="12.75">
      <c r="A22" s="1" t="s">
        <v>59</v>
      </c>
      <c r="D22">
        <f>ROUND(M13,2)</f>
        <v>0</v>
      </c>
      <c r="E22" s="36" t="s">
        <v>60</v>
      </c>
    </row>
    <row r="23" spans="1:3" ht="12.75">
      <c r="A23" s="1" t="s">
        <v>61</v>
      </c>
      <c r="C23">
        <f>ROUND(U16,2)</f>
        <v>0</v>
      </c>
    </row>
    <row r="24" spans="1:5" ht="12.75">
      <c r="A24" s="1" t="s">
        <v>62</v>
      </c>
      <c r="C24" s="15">
        <f>ROUND(C23*2*(1-C43),2)</f>
        <v>0</v>
      </c>
      <c r="E24" s="29" t="s">
        <v>63</v>
      </c>
    </row>
    <row r="25" spans="1:5" ht="12.75">
      <c r="A25" s="1" t="s">
        <v>64</v>
      </c>
      <c r="D25">
        <f>C23-C24</f>
        <v>0</v>
      </c>
      <c r="E25" s="31" t="s">
        <v>65</v>
      </c>
    </row>
    <row r="26" spans="1:5" ht="12.75">
      <c r="A26" s="1" t="s">
        <v>66</v>
      </c>
      <c r="D26" s="16">
        <f>D22-D25</f>
        <v>0</v>
      </c>
      <c r="E26" s="30">
        <f>AA18</f>
        <v>0</v>
      </c>
    </row>
    <row r="27" spans="1:4" ht="12.75">
      <c r="A27" s="1" t="s">
        <v>67</v>
      </c>
      <c r="D27" s="22"/>
    </row>
    <row r="28" spans="1:5" ht="12.75">
      <c r="A28" s="1" t="s">
        <v>68</v>
      </c>
      <c r="C28" s="19"/>
      <c r="D28" s="18"/>
      <c r="E28" s="38" t="s">
        <v>69</v>
      </c>
    </row>
    <row r="29" spans="1:5" ht="12.75">
      <c r="A29" s="17" t="s">
        <v>70</v>
      </c>
      <c r="B29" s="18"/>
      <c r="C29" s="18"/>
      <c r="D29" s="16">
        <f>IF(D26&lt;SUM(D27:D28),0,D26-SUM(D27:D28))</f>
        <v>0</v>
      </c>
      <c r="E29" s="39" t="s">
        <v>71</v>
      </c>
    </row>
    <row r="30" spans="1:5" ht="12.75">
      <c r="A30" t="s">
        <v>72</v>
      </c>
      <c r="C30" s="18"/>
      <c r="D30" s="18"/>
      <c r="E30" s="39" t="s">
        <v>73</v>
      </c>
    </row>
    <row r="31" spans="1:5" ht="12.75">
      <c r="A31" t="s">
        <v>74</v>
      </c>
      <c r="C31" s="18"/>
      <c r="D31" s="27"/>
      <c r="E31" s="38" t="s">
        <v>75</v>
      </c>
    </row>
    <row r="32" spans="1:5" ht="13.5" thickBot="1">
      <c r="A32" t="str">
        <f>IF(D32&lt;0,"Saldo a favor de impuesto sobre la renta:","Impuesto sobre la renta a retener:")</f>
        <v>Impuesto sobre la renta a retener:</v>
      </c>
      <c r="C32" s="18"/>
      <c r="D32" s="28">
        <f>D29-SUM(D30:D31)</f>
        <v>0</v>
      </c>
      <c r="E32" s="39" t="s">
        <v>76</v>
      </c>
    </row>
    <row r="33" spans="3:5" ht="13.5" thickTop="1">
      <c r="C33" s="18"/>
      <c r="D33" s="18"/>
      <c r="E33" s="40" t="s">
        <v>77</v>
      </c>
    </row>
    <row r="34" spans="3:5" ht="12.75">
      <c r="C34" s="18"/>
      <c r="D34" s="18"/>
      <c r="E34" s="38" t="s">
        <v>78</v>
      </c>
    </row>
    <row r="35" spans="3:5" ht="12.75">
      <c r="C35" s="18"/>
      <c r="D35" s="18"/>
      <c r="E35" s="38" t="s">
        <v>79</v>
      </c>
    </row>
    <row r="36" spans="3:5" ht="12.75">
      <c r="C36" s="18"/>
      <c r="D36" s="18"/>
      <c r="E36" s="39" t="s">
        <v>80</v>
      </c>
    </row>
    <row r="37" spans="4:5" ht="12.75">
      <c r="D37" s="18"/>
      <c r="E37" s="39" t="s">
        <v>81</v>
      </c>
    </row>
    <row r="38" spans="4:5" ht="12.75">
      <c r="D38" s="18"/>
      <c r="E38" s="39" t="s">
        <v>82</v>
      </c>
    </row>
    <row r="39" ht="12.75">
      <c r="E39" s="39" t="s">
        <v>83</v>
      </c>
    </row>
    <row r="40" ht="12.75">
      <c r="E40" s="43" t="s">
        <v>104</v>
      </c>
    </row>
    <row r="41" ht="12.75">
      <c r="E41" s="41" t="s">
        <v>105</v>
      </c>
    </row>
    <row r="42" spans="1:5" ht="12.75">
      <c r="A42" s="24" t="s">
        <v>84</v>
      </c>
      <c r="C42" s="18"/>
      <c r="E42" s="42" t="s">
        <v>88</v>
      </c>
    </row>
    <row r="43" spans="1:5" ht="12.75">
      <c r="A43" s="1" t="s">
        <v>85</v>
      </c>
      <c r="C43" s="21">
        <v>0.9</v>
      </c>
      <c r="E43" s="41" t="s">
        <v>89</v>
      </c>
    </row>
    <row r="44" spans="1:5" ht="12.75">
      <c r="A44" s="1" t="s">
        <v>86</v>
      </c>
      <c r="C44" s="20">
        <v>2</v>
      </c>
      <c r="E44" s="41" t="s">
        <v>90</v>
      </c>
    </row>
    <row r="45" spans="1:5" ht="12.75">
      <c r="A45" t="s">
        <v>87</v>
      </c>
      <c r="C45">
        <f>IF(C44=1,48.67,IF(C44=2,47.16,IF(C44=3,45.81,IF(C44=10,46.8,IF(C44=20,45.35,IF(C44=30,44.05,"ERROR EN ZONA"))))))</f>
        <v>47.16</v>
      </c>
      <c r="E45" s="41" t="s">
        <v>91</v>
      </c>
    </row>
    <row r="46" ht="12.75">
      <c r="E46" s="41" t="s">
        <v>92</v>
      </c>
    </row>
    <row r="47" ht="12.75">
      <c r="E47" s="42" t="s">
        <v>93</v>
      </c>
    </row>
    <row r="48" ht="12.75">
      <c r="E48" s="42" t="s">
        <v>94</v>
      </c>
    </row>
    <row r="49" ht="12.75">
      <c r="E49" s="42" t="s">
        <v>100</v>
      </c>
    </row>
    <row r="50" ht="12.75">
      <c r="E50" s="42" t="s">
        <v>98</v>
      </c>
    </row>
    <row r="51" ht="12.75">
      <c r="E51" s="42" t="s">
        <v>95</v>
      </c>
    </row>
    <row r="52" ht="12.75">
      <c r="E52" s="41" t="s">
        <v>96</v>
      </c>
    </row>
    <row r="53" ht="12.75">
      <c r="E53" s="42" t="s">
        <v>99</v>
      </c>
    </row>
    <row r="54" ht="12.75">
      <c r="E54" s="41" t="s">
        <v>97</v>
      </c>
    </row>
  </sheetData>
  <printOptions horizontalCentered="1"/>
  <pageMargins left="0.7874015748031497" right="0.7874015748031497" top="1.1811023622047245" bottom="0.7874015748031497" header="0" footer="0"/>
  <pageSetup fitToHeight="1" fitToWidth="1"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 Salazar</cp:lastModifiedBy>
  <cp:lastPrinted>2004-11-26T21:22:48Z</cp:lastPrinted>
  <dcterms:created xsi:type="dcterms:W3CDTF">2004-11-26T21:01:20Z</dcterms:created>
  <dcterms:modified xsi:type="dcterms:W3CDTF">2006-11-06T17:14:20Z</dcterms:modified>
  <cp:category/>
  <cp:version/>
  <cp:contentType/>
  <cp:contentStatus/>
</cp:coreProperties>
</file>