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'Mensual'!$A$1:$D$41</definedName>
  </definedNames>
  <calcPr fullCalcOnLoad="1"/>
</workbook>
</file>

<file path=xl/sharedStrings.xml><?xml version="1.0" encoding="utf-8"?>
<sst xmlns="http://schemas.openxmlformats.org/spreadsheetml/2006/main" count="111" uniqueCount="86">
  <si>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</si>
  <si>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</si>
  <si>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</si>
  <si>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</si>
  <si>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</si>
  <si>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</si>
  <si>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</si>
  <si>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</si>
  <si>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</si>
  <si>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</si>
  <si>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</si>
  <si>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</si>
  <si>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</si>
  <si>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Tarifa artículo 113</t>
  </si>
  <si>
    <t>En adelante</t>
  </si>
  <si>
    <t>desde</t>
  </si>
  <si>
    <t>hasta</t>
  </si>
  <si>
    <t>Subsidio para el empleo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</si>
  <si>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</si>
  <si>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</si>
  <si>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</si>
  <si>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</si>
  <si>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</si>
  <si>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</si>
  <si>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</si>
  <si>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</si>
  <si>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</si>
  <si>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</si>
  <si>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</si>
  <si>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</si>
  <si>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</si>
  <si>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</si>
  <si>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</si>
  <si>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</si>
  <si>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</si>
  <si>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</si>
  <si>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</si>
  <si>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</si>
  <si>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</si>
  <si>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Zona económica del trabajador (A=1, B=2, C=3)</t>
  </si>
  <si>
    <t>Salario mínimo general diario</t>
  </si>
  <si>
    <t>Salario mínimo general diario en el D.F.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</si>
  <si>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</si>
  <si>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</si>
  <si>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</si>
  <si>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</si>
  <si>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</si>
  <si>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</si>
  <si>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</si>
  <si>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</si>
  <si>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</si>
  <si>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</si>
  <si>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</si>
  <si>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</si>
  <si>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</si>
  <si>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</si>
  <si>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</si>
  <si>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</si>
  <si>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Nota: Si se desea imprimir esta última sección, tiene que dar nueva área de impresión para incluirla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</si>
  <si>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</si>
  <si>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</si>
  <si>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</si>
  <si>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</si>
  <si>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</si>
  <si>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</si>
  <si>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</si>
  <si>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</si>
  <si>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</si>
  <si>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</si>
  <si>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</si>
  <si>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</si>
  <si>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</si>
  <si>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</si>
  <si>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</si>
  <si>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</si>
  <si>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</si>
  <si>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</si>
  <si>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</si>
  <si>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</si>
  <si>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</si>
  <si>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</si>
  <si>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</si>
  <si>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</si>
  <si>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</si>
  <si>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Enero 2008 (última actualización según decreto: 31/dic/2007)</t>
  </si>
  <si>
    <t>y de las aportaciones de Seguridad Social según las leyes vigentes durante 2009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</si>
</sst>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3.2812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21</v>
      </c>
      <c r="B1" s="2"/>
      <c r="C1" s="2"/>
      <c r="D1" s="2"/>
      <c r="K1" s="1" t="s">
        <v>13</v>
      </c>
      <c r="R1" s="9" t="s">
        <v>17</v>
      </c>
    </row>
    <row r="2" spans="1:4" ht="12.75">
      <c r="A2" s="2" t="s">
        <v>85</v>
      </c>
      <c r="B2" s="2"/>
      <c r="C2" s="2"/>
      <c r="D2" s="2"/>
    </row>
    <row r="3" spans="1:20" ht="12.75">
      <c r="A3" s="2"/>
      <c r="B3" s="2"/>
      <c r="C3" s="2"/>
      <c r="D3" s="2"/>
      <c r="R3" t="s">
        <v>7</v>
      </c>
      <c r="S3" t="s">
        <v>7</v>
      </c>
      <c r="T3" t="s">
        <v>12</v>
      </c>
    </row>
    <row r="4" spans="11:20" ht="12.75">
      <c r="K4" s="1" t="s">
        <v>84</v>
      </c>
      <c r="R4" t="s">
        <v>15</v>
      </c>
      <c r="S4" t="s">
        <v>16</v>
      </c>
      <c r="T4" t="s">
        <v>19</v>
      </c>
    </row>
    <row r="5" spans="18:20" ht="12.75">
      <c r="R5">
        <v>0.01</v>
      </c>
      <c r="S5">
        <v>1768.96</v>
      </c>
      <c r="T5">
        <v>407.02</v>
      </c>
    </row>
    <row r="6" spans="11:20" ht="12.75">
      <c r="K6" t="s">
        <v>0</v>
      </c>
      <c r="L6" t="s">
        <v>0</v>
      </c>
      <c r="M6" t="s">
        <v>1</v>
      </c>
      <c r="N6" t="s">
        <v>2</v>
      </c>
      <c r="R6">
        <v>1768.97</v>
      </c>
      <c r="S6">
        <v>2653.38</v>
      </c>
      <c r="T6">
        <v>406.83</v>
      </c>
    </row>
    <row r="7" spans="1:20" ht="12.75">
      <c r="A7" t="s">
        <v>22</v>
      </c>
      <c r="B7" s="6"/>
      <c r="D7" s="13">
        <f ca="1">TODAY()</f>
        <v>41190</v>
      </c>
      <c r="K7" t="s">
        <v>3</v>
      </c>
      <c r="L7" t="s">
        <v>4</v>
      </c>
      <c r="M7" t="s">
        <v>5</v>
      </c>
      <c r="P7" s="1"/>
      <c r="R7">
        <v>2653.39</v>
      </c>
      <c r="S7">
        <v>3472.84</v>
      </c>
      <c r="T7">
        <v>406.62</v>
      </c>
    </row>
    <row r="8" spans="4:20" ht="12.75">
      <c r="D8" s="14">
        <f ca="1">NOW()</f>
        <v>41190.476876967594</v>
      </c>
      <c r="K8">
        <v>0.01</v>
      </c>
      <c r="L8">
        <v>496.07</v>
      </c>
      <c r="M8">
        <v>0</v>
      </c>
      <c r="N8" s="3">
        <v>0.0192</v>
      </c>
      <c r="R8">
        <v>3472.85</v>
      </c>
      <c r="S8">
        <v>3537.87</v>
      </c>
      <c r="T8">
        <v>392.77</v>
      </c>
    </row>
    <row r="9" spans="1:20" ht="12.75">
      <c r="A9" s="15" t="s">
        <v>6</v>
      </c>
      <c r="B9" s="16" t="s">
        <v>23</v>
      </c>
      <c r="C9" s="16" t="s">
        <v>24</v>
      </c>
      <c r="D9" s="17" t="s">
        <v>25</v>
      </c>
      <c r="K9">
        <v>496.08</v>
      </c>
      <c r="L9">
        <v>4210.41</v>
      </c>
      <c r="M9">
        <v>9.52</v>
      </c>
      <c r="N9" s="3">
        <v>0.064</v>
      </c>
      <c r="R9">
        <v>3537.88</v>
      </c>
      <c r="S9">
        <v>4446.15</v>
      </c>
      <c r="T9">
        <v>382.46</v>
      </c>
    </row>
    <row r="10" spans="1:20" ht="12.75">
      <c r="A10" s="18" t="s">
        <v>26</v>
      </c>
      <c r="B10" s="6"/>
      <c r="C10" s="6"/>
      <c r="D10" s="8">
        <f aca="true" t="shared" si="0" ref="D10:D17">IF(B10&lt;C10,0,B10-C10)</f>
        <v>0</v>
      </c>
      <c r="K10">
        <v>4210.42</v>
      </c>
      <c r="L10">
        <v>7399.42</v>
      </c>
      <c r="M10">
        <v>247.23</v>
      </c>
      <c r="N10" s="3">
        <v>0.10880000000000001</v>
      </c>
      <c r="R10">
        <v>4446.16</v>
      </c>
      <c r="S10">
        <v>4717.18</v>
      </c>
      <c r="T10">
        <v>354.23</v>
      </c>
    </row>
    <row r="11" spans="1:20" ht="12.75">
      <c r="A11" s="18" t="s">
        <v>27</v>
      </c>
      <c r="B11" s="6"/>
      <c r="C11" s="6"/>
      <c r="D11" s="8">
        <f t="shared" si="0"/>
        <v>0</v>
      </c>
      <c r="K11">
        <v>7399.43</v>
      </c>
      <c r="L11">
        <v>8601.5</v>
      </c>
      <c r="M11">
        <v>594.24</v>
      </c>
      <c r="N11" s="3">
        <v>0.16</v>
      </c>
      <c r="R11">
        <v>4717.19</v>
      </c>
      <c r="S11">
        <v>5335.42</v>
      </c>
      <c r="T11">
        <v>324.87</v>
      </c>
    </row>
    <row r="12" spans="1:20" ht="12.75">
      <c r="A12" s="18" t="s">
        <v>28</v>
      </c>
      <c r="B12" s="6"/>
      <c r="C12">
        <f>IF(C33*1.3*30.4&lt;B12,C33*1.3*30.4,B12)</f>
        <v>0</v>
      </c>
      <c r="D12" s="8">
        <f t="shared" si="0"/>
        <v>0</v>
      </c>
      <c r="K12">
        <v>8601.51</v>
      </c>
      <c r="L12" s="7">
        <v>10298.35</v>
      </c>
      <c r="M12">
        <v>786.55</v>
      </c>
      <c r="N12" s="3">
        <v>0.17920000000000003</v>
      </c>
      <c r="R12">
        <v>5335.43</v>
      </c>
      <c r="S12">
        <v>6224.67</v>
      </c>
      <c r="T12">
        <v>294.63</v>
      </c>
    </row>
    <row r="13" spans="1:20" ht="12.75">
      <c r="A13" s="18" t="s">
        <v>29</v>
      </c>
      <c r="B13" s="6"/>
      <c r="C13">
        <f>IF(C33*30.4*7-SUM(B10:B11)&lt;C33*30.4,IF(C33*30.4&gt;B13,B13,C33*30.4),IF(C33*30.4*7-SUM(B10:B11)&gt;B13,B13,C33*30.4*7-SUM(B10:B11)))</f>
        <v>0</v>
      </c>
      <c r="D13" s="8">
        <f t="shared" si="0"/>
        <v>0</v>
      </c>
      <c r="K13">
        <v>10298.36</v>
      </c>
      <c r="L13" s="11">
        <v>20770.29</v>
      </c>
      <c r="M13">
        <v>1090.62</v>
      </c>
      <c r="N13" s="3">
        <v>0.19940000000000002</v>
      </c>
      <c r="R13">
        <v>6224.68</v>
      </c>
      <c r="S13">
        <v>7113.9</v>
      </c>
      <c r="T13">
        <v>253.54</v>
      </c>
    </row>
    <row r="14" spans="1:20" ht="12.75">
      <c r="A14" s="18" t="s">
        <v>30</v>
      </c>
      <c r="B14" s="6"/>
      <c r="C14">
        <f>IF(C33*15&lt;B14,C33*15,B14)</f>
        <v>0</v>
      </c>
      <c r="D14" s="8">
        <f t="shared" si="0"/>
        <v>0</v>
      </c>
      <c r="K14">
        <v>20770.3</v>
      </c>
      <c r="L14">
        <v>32736.83</v>
      </c>
      <c r="M14">
        <v>3178.3</v>
      </c>
      <c r="N14" s="3">
        <v>0.2195</v>
      </c>
      <c r="R14">
        <v>7113.91</v>
      </c>
      <c r="S14">
        <v>7382.33</v>
      </c>
      <c r="T14">
        <v>217.61</v>
      </c>
    </row>
    <row r="15" spans="1:20" ht="12.75">
      <c r="A15" s="18" t="s">
        <v>31</v>
      </c>
      <c r="B15" s="6"/>
      <c r="C15">
        <f>IF(C33*15&lt;B15,C33*15,B15)</f>
        <v>0</v>
      </c>
      <c r="D15" s="8">
        <f t="shared" si="0"/>
        <v>0</v>
      </c>
      <c r="K15">
        <v>32736.84</v>
      </c>
      <c r="L15" s="5" t="s">
        <v>14</v>
      </c>
      <c r="M15">
        <v>5805.2</v>
      </c>
      <c r="N15" s="3">
        <v>0.28</v>
      </c>
      <c r="R15">
        <v>7382.34</v>
      </c>
      <c r="S15" s="5" t="s">
        <v>14</v>
      </c>
      <c r="T15">
        <v>0</v>
      </c>
    </row>
    <row r="16" spans="1:4" ht="12.75">
      <c r="A16" s="18" t="s">
        <v>32</v>
      </c>
      <c r="B16" s="6"/>
      <c r="C16">
        <f>IF(C33*30&lt;B16,C33*30,B16)</f>
        <v>0</v>
      </c>
      <c r="D16" s="8">
        <f t="shared" si="0"/>
        <v>0</v>
      </c>
    </row>
    <row r="17" spans="1:4" ht="12.75">
      <c r="A17" s="19" t="s">
        <v>33</v>
      </c>
      <c r="B17" s="6"/>
      <c r="C17" s="6"/>
      <c r="D17" s="8">
        <f t="shared" si="0"/>
        <v>0</v>
      </c>
    </row>
    <row r="18" spans="1:4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</row>
    <row r="19" ht="12.75">
      <c r="L19" s="7"/>
    </row>
    <row r="20" spans="1:4" ht="12.75">
      <c r="A20" s="1" t="s">
        <v>77</v>
      </c>
      <c r="D20">
        <f>ROUND(O42,2)</f>
        <v>0</v>
      </c>
    </row>
    <row r="21" spans="1:4" ht="12.75">
      <c r="A21" s="1" t="s">
        <v>76</v>
      </c>
      <c r="C21" s="36">
        <v>1</v>
      </c>
      <c r="D21">
        <f>IF(C21=1,ROUND(U42,2),0)</f>
        <v>0</v>
      </c>
    </row>
    <row r="22" spans="1:4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</row>
    <row r="23" spans="1:4" ht="13.5" thickTop="1">
      <c r="A23" s="6"/>
      <c r="B23" s="6"/>
      <c r="C23" s="6"/>
      <c r="D23" s="6"/>
    </row>
    <row r="24" spans="1:4" ht="12.75">
      <c r="A24" t="s">
        <v>34</v>
      </c>
      <c r="B24" s="6"/>
      <c r="C24" s="6"/>
      <c r="D24" s="6"/>
    </row>
    <row r="25" spans="1:4" ht="12.75">
      <c r="A25" s="1" t="s">
        <v>35</v>
      </c>
      <c r="B25" s="32">
        <f>ROUND(IF(C31=30.4,B10/30*1.0452,B10/C31*1.0452),2)</f>
        <v>0</v>
      </c>
      <c r="C25" s="6"/>
      <c r="D25" s="6"/>
    </row>
    <row r="26" spans="1:4" ht="12.75">
      <c r="A26" t="s">
        <v>36</v>
      </c>
      <c r="B26" s="33">
        <v>15</v>
      </c>
      <c r="C26" s="6"/>
      <c r="D26" s="6"/>
    </row>
    <row r="27" spans="1:18" ht="12.75">
      <c r="A27" t="s">
        <v>37</v>
      </c>
      <c r="B27">
        <f>B48</f>
        <v>294.19807499999996</v>
      </c>
      <c r="C27" s="6"/>
      <c r="D27" s="6"/>
      <c r="K27" s="1" t="s">
        <v>18</v>
      </c>
      <c r="M27" s="31">
        <f>C31</f>
        <v>30.4</v>
      </c>
      <c r="N27" s="12"/>
      <c r="R27" s="1" t="s">
        <v>20</v>
      </c>
    </row>
    <row r="28" spans="1:4" ht="12.75">
      <c r="A28" t="s">
        <v>38</v>
      </c>
      <c r="B28">
        <f>C48</f>
        <v>19.832437499999997</v>
      </c>
      <c r="C28" s="6"/>
      <c r="D28" s="6"/>
    </row>
    <row r="29" spans="3:20" ht="12.75">
      <c r="C29" s="6"/>
      <c r="D29" s="6"/>
      <c r="R29" t="s">
        <v>7</v>
      </c>
      <c r="S29" t="s">
        <v>7</v>
      </c>
      <c r="T29" t="s">
        <v>12</v>
      </c>
    </row>
    <row r="30" spans="1:20" ht="12.75">
      <c r="A30" s="1" t="s">
        <v>9</v>
      </c>
      <c r="C30" s="6"/>
      <c r="D30" s="6"/>
      <c r="K30" s="1" t="s">
        <v>10</v>
      </c>
      <c r="R30" t="s">
        <v>15</v>
      </c>
      <c r="S30" t="s">
        <v>16</v>
      </c>
      <c r="T30" t="s">
        <v>19</v>
      </c>
    </row>
    <row r="31" spans="1:21" ht="12.75">
      <c r="A31" s="1" t="s">
        <v>83</v>
      </c>
      <c r="C31" s="34">
        <v>30.4</v>
      </c>
      <c r="D31" s="6"/>
      <c r="R31">
        <v>0.01</v>
      </c>
      <c r="S31">
        <f>ROUND(S5/30.4*$M$27,2)</f>
        <v>1768.96</v>
      </c>
      <c r="T31">
        <f>ROUND(T5/30.4*$M$27,2)</f>
        <v>407.02</v>
      </c>
      <c r="U31">
        <f>IF(AND($D$18&gt;0,$D$18&lt;R32),T31,0)</f>
        <v>0</v>
      </c>
    </row>
    <row r="32" spans="1:21" ht="12.75">
      <c r="A32" s="1" t="s">
        <v>39</v>
      </c>
      <c r="C32" s="33">
        <v>2</v>
      </c>
      <c r="K32" t="s">
        <v>0</v>
      </c>
      <c r="L32" t="s">
        <v>0</v>
      </c>
      <c r="M32" t="s">
        <v>1</v>
      </c>
      <c r="N32" t="s">
        <v>2</v>
      </c>
      <c r="O32" t="s">
        <v>11</v>
      </c>
      <c r="R32">
        <f>0.01+S31</f>
        <v>1768.97</v>
      </c>
      <c r="S32">
        <f aca="true" t="shared" si="1" ref="S32:T35">ROUND(S6/30.4*$M$27,2)</f>
        <v>2653.38</v>
      </c>
      <c r="T32">
        <f t="shared" si="1"/>
        <v>406.83</v>
      </c>
      <c r="U32">
        <f aca="true" t="shared" si="2" ref="U32:U40">IF(AND($D$18&gt;S31,$D$18&lt;R33),T32,0)</f>
        <v>0</v>
      </c>
    </row>
    <row r="33" spans="1:21" ht="12.75">
      <c r="A33" t="s">
        <v>40</v>
      </c>
      <c r="C33">
        <f>IF(C32=1,54.8,IF(C32=2,53.26,IF(C32=3,51.95,IF(C32=10,52.59,IF(C32=20,50.96,IF(C32=30,49.5,"ERROR EN ZONA"))))))</f>
        <v>53.26</v>
      </c>
      <c r="D33" s="6"/>
      <c r="K33" t="s">
        <v>3</v>
      </c>
      <c r="L33" t="s">
        <v>4</v>
      </c>
      <c r="M33" t="s">
        <v>5</v>
      </c>
      <c r="R33">
        <f aca="true" t="shared" si="3" ref="R33:R41">0.01+S32</f>
        <v>2653.3900000000003</v>
      </c>
      <c r="S33">
        <f t="shared" si="1"/>
        <v>3472.84</v>
      </c>
      <c r="T33">
        <f t="shared" si="1"/>
        <v>406.62</v>
      </c>
      <c r="U33">
        <f t="shared" si="2"/>
        <v>0</v>
      </c>
    </row>
    <row r="34" spans="1:21" ht="12.75">
      <c r="A34" t="s">
        <v>41</v>
      </c>
      <c r="C34">
        <v>54.8</v>
      </c>
      <c r="D34" s="6"/>
      <c r="K34">
        <v>0.01</v>
      </c>
      <c r="L34">
        <f aca="true" t="shared" si="4" ref="L34:M40">ROUND(L8/30.4*$M$27,2)</f>
        <v>496.07</v>
      </c>
      <c r="M34">
        <f t="shared" si="4"/>
        <v>0</v>
      </c>
      <c r="N34" s="3">
        <v>0.0192</v>
      </c>
      <c r="O34">
        <f>IF(AND($D$18&gt;0,$D$18&lt;K35),D18*N34,0)</f>
        <v>0</v>
      </c>
      <c r="R34">
        <f t="shared" si="3"/>
        <v>3472.8500000000004</v>
      </c>
      <c r="S34">
        <f t="shared" si="1"/>
        <v>3537.87</v>
      </c>
      <c r="T34">
        <f t="shared" si="1"/>
        <v>392.77</v>
      </c>
      <c r="U34">
        <f t="shared" si="2"/>
        <v>0</v>
      </c>
    </row>
    <row r="35" spans="1:21" ht="12.75">
      <c r="A35" s="1" t="s">
        <v>42</v>
      </c>
      <c r="C35" s="35">
        <v>0.005</v>
      </c>
      <c r="D35" s="6"/>
      <c r="K35">
        <f aca="true" t="shared" si="5" ref="K35:K41">0.01+L34</f>
        <v>496.08</v>
      </c>
      <c r="L35">
        <f t="shared" si="4"/>
        <v>4210.41</v>
      </c>
      <c r="M35">
        <f t="shared" si="4"/>
        <v>9.52</v>
      </c>
      <c r="N35" s="3">
        <v>0.064</v>
      </c>
      <c r="O35">
        <f aca="true" t="shared" si="6" ref="O35:O40">IF(AND($D$18&lt;K36,$D$18&gt;L34),($D$18-K35)*N35+M35,0)</f>
        <v>0</v>
      </c>
      <c r="R35">
        <f t="shared" si="3"/>
        <v>3537.88</v>
      </c>
      <c r="S35">
        <f t="shared" si="1"/>
        <v>4446.15</v>
      </c>
      <c r="T35">
        <f t="shared" si="1"/>
        <v>382.46</v>
      </c>
      <c r="U35">
        <f>IF(AND($D$18&gt;S34,$D$18&lt;R36),T35,0)</f>
        <v>0</v>
      </c>
    </row>
    <row r="36" spans="1:21" ht="12.75">
      <c r="A36" s="24"/>
      <c r="B36" s="6"/>
      <c r="C36" s="23"/>
      <c r="D36" s="6"/>
      <c r="K36">
        <f t="shared" si="5"/>
        <v>4210.42</v>
      </c>
      <c r="L36">
        <f t="shared" si="4"/>
        <v>7399.42</v>
      </c>
      <c r="M36">
        <f t="shared" si="4"/>
        <v>247.23</v>
      </c>
      <c r="N36" s="3">
        <v>0.10880000000000001</v>
      </c>
      <c r="O36">
        <f t="shared" si="6"/>
        <v>0</v>
      </c>
      <c r="R36">
        <f>0.01+S35</f>
        <v>4446.16</v>
      </c>
      <c r="S36">
        <f aca="true" t="shared" si="7" ref="S36:T40">ROUND(S10/30.4*$M$27,2)</f>
        <v>4717.18</v>
      </c>
      <c r="T36">
        <f t="shared" si="7"/>
        <v>354.23</v>
      </c>
      <c r="U36">
        <f>IF(AND($D$18&gt;S35,$D$18&lt;R37),T36,0)</f>
        <v>0</v>
      </c>
    </row>
    <row r="37" spans="1:21" ht="12.75">
      <c r="A37" s="1" t="s">
        <v>43</v>
      </c>
      <c r="B37" s="5" t="s">
        <v>44</v>
      </c>
      <c r="C37" s="5" t="s">
        <v>45</v>
      </c>
      <c r="D37" s="5" t="s">
        <v>46</v>
      </c>
      <c r="K37">
        <f t="shared" si="5"/>
        <v>7399.43</v>
      </c>
      <c r="L37">
        <f t="shared" si="4"/>
        <v>8601.5</v>
      </c>
      <c r="M37">
        <f t="shared" si="4"/>
        <v>594.24</v>
      </c>
      <c r="N37" s="3">
        <v>0.16</v>
      </c>
      <c r="O37">
        <f t="shared" si="6"/>
        <v>0</v>
      </c>
      <c r="R37">
        <f t="shared" si="3"/>
        <v>4717.1900000000005</v>
      </c>
      <c r="S37">
        <f t="shared" si="7"/>
        <v>5335.42</v>
      </c>
      <c r="T37">
        <f t="shared" si="7"/>
        <v>324.87</v>
      </c>
      <c r="U37">
        <f t="shared" si="2"/>
        <v>0</v>
      </c>
    </row>
    <row r="38" spans="1:21" ht="12.75">
      <c r="A38" s="1" t="s">
        <v>47</v>
      </c>
      <c r="B38">
        <f>C34*C63*B26</f>
        <v>167.68799999999996</v>
      </c>
      <c r="C38">
        <v>0</v>
      </c>
      <c r="D38">
        <f aca="true" t="shared" si="8" ref="D38:D47">B38+C38</f>
        <v>167.68799999999996</v>
      </c>
      <c r="K38">
        <f t="shared" si="5"/>
        <v>8601.51</v>
      </c>
      <c r="L38">
        <f t="shared" si="4"/>
        <v>10298.35</v>
      </c>
      <c r="M38">
        <f t="shared" si="4"/>
        <v>786.55</v>
      </c>
      <c r="N38" s="3">
        <v>0.17920000000000003</v>
      </c>
      <c r="O38">
        <f t="shared" si="6"/>
        <v>0</v>
      </c>
      <c r="R38">
        <f t="shared" si="3"/>
        <v>5335.43</v>
      </c>
      <c r="S38">
        <f t="shared" si="7"/>
        <v>6224.67</v>
      </c>
      <c r="T38">
        <f t="shared" si="7"/>
        <v>294.63</v>
      </c>
      <c r="U38">
        <f t="shared" si="2"/>
        <v>0</v>
      </c>
    </row>
    <row r="39" spans="1:21" ht="12.75">
      <c r="A39" s="1" t="s">
        <v>48</v>
      </c>
      <c r="B39">
        <f>D75*C64*B26</f>
        <v>0</v>
      </c>
      <c r="C39">
        <f>D75*C56*B26</f>
        <v>0</v>
      </c>
      <c r="D39">
        <f t="shared" si="8"/>
        <v>0</v>
      </c>
      <c r="K39">
        <f t="shared" si="5"/>
        <v>10298.36</v>
      </c>
      <c r="L39">
        <f t="shared" si="4"/>
        <v>20770.29</v>
      </c>
      <c r="M39">
        <f t="shared" si="4"/>
        <v>1090.62</v>
      </c>
      <c r="N39" s="3">
        <v>0.19940000000000002</v>
      </c>
      <c r="O39">
        <f t="shared" si="6"/>
        <v>0</v>
      </c>
      <c r="R39">
        <f t="shared" si="3"/>
        <v>6224.68</v>
      </c>
      <c r="S39">
        <f t="shared" si="7"/>
        <v>7113.9</v>
      </c>
      <c r="T39">
        <f t="shared" si="7"/>
        <v>253.54</v>
      </c>
      <c r="U39">
        <f t="shared" si="2"/>
        <v>0</v>
      </c>
    </row>
    <row r="40" spans="1:21" ht="12.75">
      <c r="A40" s="1" t="s">
        <v>49</v>
      </c>
      <c r="B40">
        <f>D76*C65*B26</f>
        <v>5.845350000000001</v>
      </c>
      <c r="C40">
        <f>D76*C57*B26</f>
        <v>2.0876250000000005</v>
      </c>
      <c r="D40">
        <f t="shared" si="8"/>
        <v>7.932975000000001</v>
      </c>
      <c r="K40">
        <f t="shared" si="5"/>
        <v>20770.3</v>
      </c>
      <c r="L40">
        <f t="shared" si="4"/>
        <v>32736.83</v>
      </c>
      <c r="M40">
        <f t="shared" si="4"/>
        <v>3178.3</v>
      </c>
      <c r="N40" s="3">
        <v>0.2195</v>
      </c>
      <c r="O40">
        <f t="shared" si="6"/>
        <v>0</v>
      </c>
      <c r="R40">
        <f t="shared" si="3"/>
        <v>7113.91</v>
      </c>
      <c r="S40">
        <f t="shared" si="7"/>
        <v>7382.33</v>
      </c>
      <c r="T40">
        <f t="shared" si="7"/>
        <v>217.61</v>
      </c>
      <c r="U40">
        <f t="shared" si="2"/>
        <v>0</v>
      </c>
    </row>
    <row r="41" spans="1:21" ht="12.75">
      <c r="A41" s="1" t="s">
        <v>50</v>
      </c>
      <c r="B41">
        <f>D76*C66*B26</f>
        <v>8.768025</v>
      </c>
      <c r="C41">
        <f>D76*C58*B26</f>
        <v>3.1314374999999997</v>
      </c>
      <c r="D41">
        <f t="shared" si="8"/>
        <v>11.899462499999998</v>
      </c>
      <c r="K41">
        <f t="shared" si="5"/>
        <v>32736.84</v>
      </c>
      <c r="L41" s="5" t="s">
        <v>14</v>
      </c>
      <c r="M41">
        <f>ROUND(M15/30.4*$M$27,2)</f>
        <v>5805.2</v>
      </c>
      <c r="N41" s="3">
        <v>0.28</v>
      </c>
      <c r="O41">
        <f>IF($D$18&gt;L40,($D$18-K41)*N41+M41,0)</f>
        <v>0</v>
      </c>
      <c r="R41">
        <f t="shared" si="3"/>
        <v>7382.34</v>
      </c>
      <c r="S41" s="5" t="s">
        <v>14</v>
      </c>
      <c r="T41">
        <f>ROUND(T15*$M$27,2)</f>
        <v>0</v>
      </c>
      <c r="U41">
        <f>IF($D$18&gt;S40,T41,0)</f>
        <v>0</v>
      </c>
    </row>
    <row r="42" spans="1:21" ht="12.75">
      <c r="A42" s="1" t="s">
        <v>51</v>
      </c>
      <c r="B42">
        <f>D76*C67*B26</f>
        <v>14.613375000000001</v>
      </c>
      <c r="C42">
        <f>D76*C59*B26</f>
        <v>5.2190625</v>
      </c>
      <c r="D42">
        <f t="shared" si="8"/>
        <v>19.8324375</v>
      </c>
      <c r="O42">
        <f>SUM(O34:O41)</f>
        <v>0</v>
      </c>
      <c r="U42">
        <f>SUM(U31:U41)</f>
        <v>0</v>
      </c>
    </row>
    <row r="43" spans="1:4" ht="12.75">
      <c r="A43" t="s">
        <v>52</v>
      </c>
      <c r="B43">
        <f>D76*C68*B26</f>
        <v>16.701000000000004</v>
      </c>
      <c r="C43">
        <v>0</v>
      </c>
      <c r="D43">
        <f t="shared" si="8"/>
        <v>16.701000000000004</v>
      </c>
    </row>
    <row r="44" spans="1:4" ht="12.75">
      <c r="A44" s="1" t="s">
        <v>53</v>
      </c>
      <c r="B44">
        <f>D76*C69*B26</f>
        <v>26.304075</v>
      </c>
      <c r="C44">
        <f>D76*C60*B26</f>
        <v>9.3943125</v>
      </c>
      <c r="D44">
        <f t="shared" si="8"/>
        <v>35.6983875</v>
      </c>
    </row>
    <row r="45" spans="1:4" ht="12.75">
      <c r="A45" t="s">
        <v>54</v>
      </c>
      <c r="B45">
        <f>D76*C70*B26</f>
        <v>8.350500000000002</v>
      </c>
      <c r="C45">
        <v>0</v>
      </c>
      <c r="D45">
        <f t="shared" si="8"/>
        <v>8.350500000000002</v>
      </c>
    </row>
    <row r="46" spans="1:4" ht="12.75">
      <c r="A46" t="s">
        <v>55</v>
      </c>
      <c r="B46">
        <f>D76*C71*B26</f>
        <v>4.175250000000001</v>
      </c>
      <c r="C46">
        <v>0</v>
      </c>
      <c r="D46">
        <f t="shared" si="8"/>
        <v>4.175250000000001</v>
      </c>
    </row>
    <row r="47" spans="1:4" ht="12.75">
      <c r="A47" t="s">
        <v>56</v>
      </c>
      <c r="B47">
        <f>D76*C72*B26</f>
        <v>41.7525</v>
      </c>
      <c r="C47">
        <v>0</v>
      </c>
      <c r="D47">
        <f t="shared" si="8"/>
        <v>41.7525</v>
      </c>
    </row>
    <row r="48" spans="1:4" ht="12.75">
      <c r="A48" s="1" t="s">
        <v>8</v>
      </c>
      <c r="B48">
        <f>SUM(B38:B47)</f>
        <v>294.19807499999996</v>
      </c>
      <c r="C48">
        <f>SUM(C38:C47)</f>
        <v>19.832437499999997</v>
      </c>
      <c r="D48">
        <f>SUM(D38:D47)</f>
        <v>314.0305125</v>
      </c>
    </row>
    <row r="49" spans="1:2" ht="12.75">
      <c r="A49" s="1" t="s">
        <v>57</v>
      </c>
      <c r="B49">
        <f>(B18-B15)*0.02</f>
        <v>0</v>
      </c>
    </row>
    <row r="50" ht="12.75">
      <c r="A50" s="1" t="s">
        <v>58</v>
      </c>
    </row>
    <row r="53" spans="1:4" ht="12.75">
      <c r="A53" s="25" t="s">
        <v>59</v>
      </c>
      <c r="B53" s="25"/>
      <c r="C53" s="25"/>
      <c r="D53" s="25"/>
    </row>
    <row r="55" spans="1:4" ht="25.5">
      <c r="A55" t="s">
        <v>60</v>
      </c>
      <c r="C55" s="26" t="s">
        <v>2</v>
      </c>
      <c r="D55" s="27" t="s">
        <v>61</v>
      </c>
    </row>
    <row r="56" spans="1:4" ht="12.75">
      <c r="A56" s="9" t="s">
        <v>62</v>
      </c>
      <c r="C56" s="28">
        <v>0.004</v>
      </c>
      <c r="D56" s="10">
        <v>25</v>
      </c>
    </row>
    <row r="57" spans="1:4" ht="12.75">
      <c r="A57" s="9" t="s">
        <v>63</v>
      </c>
      <c r="C57" s="28">
        <v>0.0025</v>
      </c>
      <c r="D57" s="10">
        <v>25</v>
      </c>
    </row>
    <row r="58" spans="1:4" ht="12.75">
      <c r="A58" s="9" t="s">
        <v>64</v>
      </c>
      <c r="C58" s="29">
        <v>0.00375</v>
      </c>
      <c r="D58" s="10">
        <v>25</v>
      </c>
    </row>
    <row r="59" spans="1:4" ht="12.75">
      <c r="A59" s="9" t="s">
        <v>65</v>
      </c>
      <c r="C59" s="29">
        <v>0.00625</v>
      </c>
      <c r="D59" s="10">
        <v>25</v>
      </c>
    </row>
    <row r="60" spans="1:4" ht="12.75">
      <c r="A60" s="9" t="s">
        <v>66</v>
      </c>
      <c r="C60" s="29">
        <v>0.01125</v>
      </c>
      <c r="D60" s="10">
        <v>25</v>
      </c>
    </row>
    <row r="62" ht="12.75">
      <c r="A62" t="s">
        <v>67</v>
      </c>
    </row>
    <row r="63" spans="1:4" ht="12.75">
      <c r="A63" s="9" t="s">
        <v>68</v>
      </c>
      <c r="C63" s="28">
        <v>0.204</v>
      </c>
      <c r="D63" s="10">
        <v>1</v>
      </c>
    </row>
    <row r="64" spans="1:4" ht="12.75">
      <c r="A64" s="9" t="s">
        <v>62</v>
      </c>
      <c r="C64" s="28">
        <v>0.011</v>
      </c>
      <c r="D64" s="10">
        <v>25</v>
      </c>
    </row>
    <row r="65" spans="1:4" ht="12.75">
      <c r="A65" s="9" t="s">
        <v>63</v>
      </c>
      <c r="C65" s="28">
        <v>0.007</v>
      </c>
      <c r="D65" s="10">
        <v>25</v>
      </c>
    </row>
    <row r="66" spans="1:4" ht="12.75">
      <c r="A66" s="9" t="s">
        <v>64</v>
      </c>
      <c r="C66" s="28">
        <v>0.0105</v>
      </c>
      <c r="D66" s="10">
        <v>25</v>
      </c>
    </row>
    <row r="67" spans="1:4" ht="12.75">
      <c r="A67" s="9" t="s">
        <v>65</v>
      </c>
      <c r="C67" s="28">
        <v>0.0175</v>
      </c>
      <c r="D67" s="10">
        <v>25</v>
      </c>
    </row>
    <row r="68" spans="1:4" ht="12.75">
      <c r="A68" s="9" t="s">
        <v>69</v>
      </c>
      <c r="C68" s="28">
        <v>0.02</v>
      </c>
      <c r="D68" s="10">
        <v>25</v>
      </c>
    </row>
    <row r="69" spans="1:4" ht="12.75">
      <c r="A69" s="9" t="s">
        <v>66</v>
      </c>
      <c r="C69" s="28">
        <v>0.0315</v>
      </c>
      <c r="D69" s="10">
        <v>25</v>
      </c>
    </row>
    <row r="70" spans="1:4" ht="12.75">
      <c r="A70" s="9" t="s">
        <v>70</v>
      </c>
      <c r="C70" s="28">
        <v>0.01</v>
      </c>
      <c r="D70" s="10">
        <v>25</v>
      </c>
    </row>
    <row r="71" spans="1:4" ht="12.75">
      <c r="A71" s="9" t="s">
        <v>71</v>
      </c>
      <c r="C71" s="30">
        <f>C35</f>
        <v>0.005</v>
      </c>
      <c r="D71" s="10">
        <v>25</v>
      </c>
    </row>
    <row r="72" spans="1:4" ht="12.75">
      <c r="A72" t="s">
        <v>72</v>
      </c>
      <c r="C72" s="29">
        <v>0.05</v>
      </c>
      <c r="D72" s="10">
        <v>25</v>
      </c>
    </row>
    <row r="74" ht="12.75">
      <c r="A74" s="1" t="s">
        <v>73</v>
      </c>
    </row>
    <row r="75" spans="1:4" ht="12.75">
      <c r="A75" s="9" t="s">
        <v>74</v>
      </c>
      <c r="D75">
        <f>ROUND(IF(B25&lt;C34*25,IF(B25&lt;3*C34,0,B25-3*C34),C34*25-3*C34),2)</f>
        <v>0</v>
      </c>
    </row>
    <row r="76" spans="1:4" ht="12.75">
      <c r="A76" s="1" t="s">
        <v>75</v>
      </c>
      <c r="D76">
        <f>ROUND(IF(B25&lt;C33*1.0452,C33*1.0452,IF(B25&lt;C34*25,B25,C34*25)),2)</f>
        <v>55.67</v>
      </c>
    </row>
    <row r="80" ht="12.75">
      <c r="A80" t="s">
        <v>78</v>
      </c>
    </row>
    <row r="81" ht="12.75">
      <c r="A81" s="1" t="s">
        <v>81</v>
      </c>
    </row>
    <row r="82" ht="12.75">
      <c r="A82" t="s">
        <v>79</v>
      </c>
    </row>
    <row r="83" ht="12.75">
      <c r="A83" t="s">
        <v>80</v>
      </c>
    </row>
    <row r="84" ht="12.75">
      <c r="A84" s="1" t="s">
        <v>82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2007-11-13T13:58:05Z</cp:lastPrinted>
  <dcterms:created xsi:type="dcterms:W3CDTF">2005-02-24T01:13:05Z</dcterms:created>
  <dcterms:modified xsi:type="dcterms:W3CDTF">2012-10-08T16:28:04Z</dcterms:modified>
  <cp:category/>
  <cp:version/>
  <cp:contentType/>
  <cp:contentStatus/>
</cp:coreProperties>
</file>