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Mensual" sheetId="1" r:id="rId1"/>
  </sheets>
  <definedNames>
    <definedName name="_xlnm.Print_Area" localSheetId="0">'Mensual'!$A$1:$D$47</definedName>
  </definedNames>
  <calcPr fullCalcOnLoad="1"/>
</workbook>
</file>

<file path=xl/sharedStrings.xml><?xml version="1.0" encoding="utf-8"?>
<sst xmlns="http://schemas.openxmlformats.org/spreadsheetml/2006/main" count="112" uniqueCount="86">
  <si>
    <t>Límite</t>
  </si>
  <si>
    <t>Cuota</t>
  </si>
  <si>
    <t>Porcentaje</t>
  </si>
  <si>
    <t>inferior</t>
  </si>
  <si>
    <t>superior</t>
  </si>
  <si>
    <t>fija</t>
  </si>
  <si>
    <t>Concepto del ingreso</t>
  </si>
  <si>
    <t>Ingresos</t>
  </si>
  <si>
    <t>Totales</t>
  </si>
  <si>
    <t>Datos generales:</t>
  </si>
  <si>
    <t>Tarifa correspondiente al periodo:</t>
  </si>
  <si>
    <t>Impuesto</t>
  </si>
  <si>
    <t>Subsidio</t>
  </si>
  <si>
    <t>En adelante</t>
  </si>
  <si>
    <t>desde</t>
  </si>
  <si>
    <t>hasta</t>
  </si>
  <si>
    <t>Días del periodo de pago</t>
  </si>
  <si>
    <t>para el e.</t>
  </si>
  <si>
    <t>Tabla correspondiente al periodo:</t>
  </si>
  <si>
    <t>Cálculo del impuesto sobre la renta de los trabajadores (o del subsidio para el empleo)</t>
  </si>
  <si>
    <t>Nombre del trabajador</t>
  </si>
  <si>
    <t>Monto total</t>
  </si>
  <si>
    <t>Parte exenta</t>
  </si>
  <si>
    <t>Monto gravable</t>
  </si>
  <si>
    <t>Sueldos y salarios</t>
  </si>
  <si>
    <t>Tiempo extra</t>
  </si>
  <si>
    <t>Fondo de ahorro</t>
  </si>
  <si>
    <t>Previsión social</t>
  </si>
  <si>
    <t>Prima vacacional</t>
  </si>
  <si>
    <t>PTU</t>
  </si>
  <si>
    <t>Aguinaldo</t>
  </si>
  <si>
    <t>Otras remuneraciones</t>
  </si>
  <si>
    <t>Seguro Social, Retiro e Infonavit</t>
  </si>
  <si>
    <t>Capturar salario diario integrado (SBC)</t>
  </si>
  <si>
    <t>Capturar días del periodo</t>
  </si>
  <si>
    <t>Cuota del patrón del periodo</t>
  </si>
  <si>
    <t>Cuota del asegurado del periodo</t>
  </si>
  <si>
    <t>Salario mínimo general diario</t>
  </si>
  <si>
    <t>Salario mínimo general diario en el D.F.</t>
  </si>
  <si>
    <t>Prima de riesgo de trabajo</t>
  </si>
  <si>
    <t>Cuotas de seguridad social:</t>
  </si>
  <si>
    <t>Patrón</t>
  </si>
  <si>
    <t>Asegurado</t>
  </si>
  <si>
    <t>Total</t>
  </si>
  <si>
    <t>EyM sobre 1 SMGDF cuota fija (M)</t>
  </si>
  <si>
    <t>EyM dif. entre SBC y 3 SMGDF (M)</t>
  </si>
  <si>
    <t>Prestaciones en dinero EyM SBC (M)</t>
  </si>
  <si>
    <t>Gastos médicos pensionado SBC (M)</t>
  </si>
  <si>
    <t>Invalidez y Vida sobre SBC (M)</t>
  </si>
  <si>
    <t>Seguro de Retiro (B)</t>
  </si>
  <si>
    <t>Ces. edad avanzada y vejez SBC (B)</t>
  </si>
  <si>
    <t>Seguro de guarderías sobre SBC (M)</t>
  </si>
  <si>
    <t>Seguro de riesgos de trabajo (M)</t>
  </si>
  <si>
    <t>Infonavit (B)</t>
  </si>
  <si>
    <t>2% sobre nóminas del periodo</t>
  </si>
  <si>
    <t>Nota: Si se desea imprimir esta última sección, tiene que dar nueva área de impresión para incluirla</t>
  </si>
  <si>
    <t>Datos para el cálculo de las prestaciones y otros pagos</t>
  </si>
  <si>
    <t>Aportaciones del asegurado:</t>
  </si>
  <si>
    <t>Límite en  veces el SMGDF</t>
  </si>
  <si>
    <t>EyM sobre dif. entre SBC y 3 SMGDF</t>
  </si>
  <si>
    <t>Prestaciones en dinero EyM sobre SBC</t>
  </si>
  <si>
    <t>Gastos médicos pensionado sobre SBC</t>
  </si>
  <si>
    <t>Invalidez y Vida sobre SBC</t>
  </si>
  <si>
    <t>Cesantía edad avanzada y vejez sobre SBC</t>
  </si>
  <si>
    <t>Aportaciones del patrón:</t>
  </si>
  <si>
    <t>EyM sobre 1 SMGDF</t>
  </si>
  <si>
    <t>Seguro de Retiro</t>
  </si>
  <si>
    <t>Seguro de Guarderías sobre SBC</t>
  </si>
  <si>
    <t>Riesgos de trabajo</t>
  </si>
  <si>
    <t>Infonavit</t>
  </si>
  <si>
    <t>Salarios diarios integrados base para el cálculo considerando el tope de cada prestación:</t>
  </si>
  <si>
    <t>Diferencia entre el SBC y 3 SMGDF</t>
  </si>
  <si>
    <t>SBC usado para las prestaciones con límite de 25 VSMGDF</t>
  </si>
  <si>
    <t>¿Tiene derecho al subsidio para el empleo? (1=Sí)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</si>
  <si>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</si>
  <si>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</si>
  <si>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</si>
  <si>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</si>
  <si>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</si>
  <si>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</si>
  <si>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</si>
  <si>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Enero 2014</t>
  </si>
  <si>
    <t>Tarifa artículo 96</t>
  </si>
  <si>
    <t>publicado el 26 de diciembre 2013</t>
  </si>
  <si>
    <t>Subsidio para el empleo según artículo 1.12 del DECRETO que compila diversos beneficios fiscales y establece medidas de simplificación administrativa.</t>
  </si>
  <si>
    <t>y de las aportaciones de Seguridad Social según las leyes vigentes durante 2016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</si>
</sst>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 horizontal="center" vertical="center" wrapText="1"/>
    </xf>
    <xf numFmtId="4" fontId="0" fillId="0" borderId="1" xfId="0" applyBorder="1" applyAlignment="1">
      <alignment horizontal="center" vertical="center" wrapText="1"/>
    </xf>
    <xf numFmtId="4" fontId="0" fillId="0" borderId="5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3" xfId="0" applyBorder="1" applyAlignment="1">
      <alignment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0" fontId="0" fillId="0" borderId="0" xfId="0" applyNumberFormat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0" fillId="0" borderId="0" xfId="0" applyAlignment="1">
      <alignment horizontal="centerContinuous" vertical="center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  <xf numFmtId="182" fontId="0" fillId="0" borderId="0" xfId="0" applyNumberFormat="1" applyFont="1" applyAlignment="1">
      <alignment/>
    </xf>
    <xf numFmtId="4" fontId="0" fillId="2" borderId="0" xfId="0" applyFill="1" applyAlignment="1" applyProtection="1">
      <alignment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170" fontId="0" fillId="2" borderId="0" xfId="0" applyNumberFormat="1" applyFill="1" applyAlignment="1" applyProtection="1">
      <alignment/>
      <protection locked="0"/>
    </xf>
    <xf numFmtId="4" fontId="0" fillId="0" borderId="0" xfId="0" applyAlignment="1" applyProtection="1">
      <alignment/>
      <protection locked="0"/>
    </xf>
    <xf numFmtId="4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3.2812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  <col min="17" max="17" width="1.7109375" style="0" customWidth="1"/>
  </cols>
  <sheetData>
    <row r="1" spans="1:18" ht="12.75">
      <c r="A1" s="2" t="s">
        <v>19</v>
      </c>
      <c r="B1" s="2"/>
      <c r="C1" s="2"/>
      <c r="D1" s="2"/>
      <c r="K1" s="1" t="s">
        <v>82</v>
      </c>
      <c r="R1" s="1" t="s">
        <v>84</v>
      </c>
    </row>
    <row r="2" spans="1:18" ht="12.75">
      <c r="A2" s="2" t="s">
        <v>85</v>
      </c>
      <c r="B2" s="2"/>
      <c r="C2" s="2"/>
      <c r="D2" s="2"/>
      <c r="R2" t="s">
        <v>83</v>
      </c>
    </row>
    <row r="3" spans="1:4" ht="12.75">
      <c r="A3" s="2"/>
      <c r="B3" s="2"/>
      <c r="C3" s="2"/>
      <c r="D3" s="2"/>
    </row>
    <row r="4" spans="1:11" ht="12.75">
      <c r="A4" s="1"/>
      <c r="K4" s="1" t="s">
        <v>81</v>
      </c>
    </row>
    <row r="5" ht="12.75">
      <c r="A5" s="2"/>
    </row>
    <row r="6" spans="11:20" ht="12.75">
      <c r="K6" t="s">
        <v>0</v>
      </c>
      <c r="L6" t="s">
        <v>0</v>
      </c>
      <c r="M6" t="s">
        <v>1</v>
      </c>
      <c r="N6" t="s">
        <v>2</v>
      </c>
      <c r="R6" t="s">
        <v>7</v>
      </c>
      <c r="S6" t="s">
        <v>7</v>
      </c>
      <c r="T6" t="s">
        <v>12</v>
      </c>
    </row>
    <row r="7" spans="1:20" ht="12.75">
      <c r="A7" t="s">
        <v>20</v>
      </c>
      <c r="B7" s="36" t="s">
        <v>20</v>
      </c>
      <c r="C7" s="37"/>
      <c r="D7" s="13">
        <f ca="1">TODAY()</f>
        <v>42807</v>
      </c>
      <c r="K7" t="s">
        <v>3</v>
      </c>
      <c r="L7" t="s">
        <v>4</v>
      </c>
      <c r="M7" t="s">
        <v>5</v>
      </c>
      <c r="P7" s="1"/>
      <c r="R7" t="s">
        <v>14</v>
      </c>
      <c r="S7" t="s">
        <v>15</v>
      </c>
      <c r="T7" t="s">
        <v>17</v>
      </c>
    </row>
    <row r="8" spans="4:20" ht="12.75">
      <c r="D8" s="14">
        <f ca="1">NOW()</f>
        <v>42807.46753217593</v>
      </c>
      <c r="K8">
        <v>0.01</v>
      </c>
      <c r="L8">
        <v>496.07</v>
      </c>
      <c r="M8">
        <v>0</v>
      </c>
      <c r="N8" s="3">
        <v>0.0192</v>
      </c>
      <c r="R8">
        <v>0.01</v>
      </c>
      <c r="S8">
        <v>1768.96</v>
      </c>
      <c r="T8">
        <v>407.02</v>
      </c>
    </row>
    <row r="9" spans="1:20" ht="12.75">
      <c r="A9" s="15" t="s">
        <v>6</v>
      </c>
      <c r="B9" s="16" t="s">
        <v>21</v>
      </c>
      <c r="C9" s="16" t="s">
        <v>22</v>
      </c>
      <c r="D9" s="17" t="s">
        <v>23</v>
      </c>
      <c r="K9">
        <v>496.08</v>
      </c>
      <c r="L9">
        <v>4210.41</v>
      </c>
      <c r="M9">
        <v>9.52</v>
      </c>
      <c r="N9" s="3">
        <v>0.064</v>
      </c>
      <c r="R9">
        <v>1768.97</v>
      </c>
      <c r="S9">
        <v>2653.38</v>
      </c>
      <c r="T9">
        <v>406.83</v>
      </c>
    </row>
    <row r="10" spans="1:20" ht="12.75">
      <c r="A10" s="18" t="s">
        <v>24</v>
      </c>
      <c r="B10" s="6"/>
      <c r="C10" s="6"/>
      <c r="D10" s="8">
        <f aca="true" t="shared" si="0" ref="D10:D17">IF(B10&lt;C10,0,B10-C10)</f>
        <v>0</v>
      </c>
      <c r="K10">
        <v>4210.42</v>
      </c>
      <c r="L10">
        <v>7399.42</v>
      </c>
      <c r="M10">
        <v>247.24</v>
      </c>
      <c r="N10" s="3">
        <v>0.10880000000000001</v>
      </c>
      <c r="R10">
        <v>2653.39</v>
      </c>
      <c r="S10">
        <v>3472.84</v>
      </c>
      <c r="T10">
        <v>406.62</v>
      </c>
    </row>
    <row r="11" spans="1:20" ht="12.75">
      <c r="A11" s="18" t="s">
        <v>25</v>
      </c>
      <c r="B11" s="6"/>
      <c r="C11" s="6"/>
      <c r="D11" s="8">
        <f t="shared" si="0"/>
        <v>0</v>
      </c>
      <c r="K11">
        <v>7399.43</v>
      </c>
      <c r="L11">
        <v>8601.5</v>
      </c>
      <c r="M11">
        <v>594.21</v>
      </c>
      <c r="N11" s="3">
        <v>0.16</v>
      </c>
      <c r="R11">
        <v>3472.85</v>
      </c>
      <c r="S11">
        <v>3537.87</v>
      </c>
      <c r="T11">
        <v>392.77</v>
      </c>
    </row>
    <row r="12" spans="1:20" ht="12.75">
      <c r="A12" s="18" t="s">
        <v>26</v>
      </c>
      <c r="B12" s="6"/>
      <c r="C12">
        <f>IF(C32*1.3*30.4&lt;B12,C32*1.3*30.4,B12)</f>
        <v>0</v>
      </c>
      <c r="D12" s="8">
        <f t="shared" si="0"/>
        <v>0</v>
      </c>
      <c r="K12">
        <v>8601.51</v>
      </c>
      <c r="L12" s="7">
        <v>10298.35</v>
      </c>
      <c r="M12">
        <v>786.54</v>
      </c>
      <c r="N12" s="3">
        <v>0.17920000000000003</v>
      </c>
      <c r="R12">
        <v>3537.88</v>
      </c>
      <c r="S12">
        <v>4446.15</v>
      </c>
      <c r="T12">
        <v>382.46</v>
      </c>
    </row>
    <row r="13" spans="1:20" ht="12.75">
      <c r="A13" s="18" t="s">
        <v>27</v>
      </c>
      <c r="B13" s="6"/>
      <c r="C13">
        <f>IF(C32*30.4*7-SUM(B10:B11)&lt;C32*30.4,IF(C32*30.4&gt;B13,B13,C32*30.4),IF(C32*30.4*7-SUM(B10:B11)&gt;B13,B13,C32*30.4*7-SUM(B10:B11)))</f>
        <v>0</v>
      </c>
      <c r="D13" s="8">
        <f t="shared" si="0"/>
        <v>0</v>
      </c>
      <c r="K13">
        <v>10298.36</v>
      </c>
      <c r="L13" s="11">
        <v>20770.29</v>
      </c>
      <c r="M13">
        <v>1090.61</v>
      </c>
      <c r="N13" s="3">
        <v>0.2136</v>
      </c>
      <c r="R13">
        <v>4446.16</v>
      </c>
      <c r="S13">
        <v>4717.18</v>
      </c>
      <c r="T13">
        <v>354.23</v>
      </c>
    </row>
    <row r="14" spans="1:20" ht="12.75">
      <c r="A14" s="18" t="s">
        <v>28</v>
      </c>
      <c r="B14" s="6"/>
      <c r="C14">
        <f>IF(C32*15&lt;B14,C32*15,B14)</f>
        <v>0</v>
      </c>
      <c r="D14" s="8">
        <f t="shared" si="0"/>
        <v>0</v>
      </c>
      <c r="K14">
        <v>20770.3</v>
      </c>
      <c r="L14">
        <v>32736.83</v>
      </c>
      <c r="M14">
        <v>3327.42</v>
      </c>
      <c r="N14" s="3">
        <v>0.2352</v>
      </c>
      <c r="R14">
        <v>4717.19</v>
      </c>
      <c r="S14">
        <v>5335.42</v>
      </c>
      <c r="T14">
        <v>324.87</v>
      </c>
    </row>
    <row r="15" spans="1:20" ht="12.75">
      <c r="A15" s="18" t="s">
        <v>29</v>
      </c>
      <c r="B15" s="6"/>
      <c r="C15">
        <f>IF(C32*15&lt;B15,C32*15,B15)</f>
        <v>0</v>
      </c>
      <c r="D15" s="8">
        <f t="shared" si="0"/>
        <v>0</v>
      </c>
      <c r="K15">
        <v>32736.84</v>
      </c>
      <c r="L15">
        <v>62500</v>
      </c>
      <c r="M15">
        <v>6141.95</v>
      </c>
      <c r="N15" s="3">
        <v>0.3</v>
      </c>
      <c r="R15">
        <v>5335.43</v>
      </c>
      <c r="S15">
        <v>6224.67</v>
      </c>
      <c r="T15">
        <v>294.63</v>
      </c>
    </row>
    <row r="16" spans="1:20" ht="12.75">
      <c r="A16" s="18" t="s">
        <v>30</v>
      </c>
      <c r="B16" s="6"/>
      <c r="C16">
        <f>IF(C32*30&lt;B16,C32*30,B16)</f>
        <v>0</v>
      </c>
      <c r="D16" s="8">
        <f t="shared" si="0"/>
        <v>0</v>
      </c>
      <c r="K16">
        <v>62500.01</v>
      </c>
      <c r="L16">
        <v>83333.33</v>
      </c>
      <c r="M16">
        <v>15070.9</v>
      </c>
      <c r="N16" s="3">
        <v>0.32</v>
      </c>
      <c r="R16">
        <v>6224.68</v>
      </c>
      <c r="S16">
        <v>7113.9</v>
      </c>
      <c r="T16">
        <v>253.54</v>
      </c>
    </row>
    <row r="17" spans="1:20" ht="12.75">
      <c r="A17" s="19" t="s">
        <v>31</v>
      </c>
      <c r="B17" s="6"/>
      <c r="C17" s="6"/>
      <c r="D17" s="8">
        <f t="shared" si="0"/>
        <v>0</v>
      </c>
      <c r="K17">
        <v>83333.34</v>
      </c>
      <c r="L17">
        <v>250000</v>
      </c>
      <c r="M17">
        <v>21737.57</v>
      </c>
      <c r="N17" s="3">
        <v>0.34</v>
      </c>
      <c r="R17">
        <v>7113.91</v>
      </c>
      <c r="S17">
        <v>7382.33</v>
      </c>
      <c r="T17">
        <v>217.61</v>
      </c>
    </row>
    <row r="18" spans="1:20" ht="12.75">
      <c r="A18" s="20" t="s">
        <v>8</v>
      </c>
      <c r="B18" s="21">
        <f>SUM(B10:B17)</f>
        <v>0</v>
      </c>
      <c r="C18" s="21">
        <f>SUM(C10:C17)</f>
        <v>0</v>
      </c>
      <c r="D18" s="4">
        <f>SUM(D10:D17)</f>
        <v>0</v>
      </c>
      <c r="K18">
        <v>250000.01</v>
      </c>
      <c r="L18" s="5" t="s">
        <v>13</v>
      </c>
      <c r="M18">
        <v>78404.23</v>
      </c>
      <c r="N18" s="3">
        <v>0.35</v>
      </c>
      <c r="R18">
        <v>7382.34</v>
      </c>
      <c r="S18" s="5" t="s">
        <v>13</v>
      </c>
      <c r="T18">
        <v>0</v>
      </c>
    </row>
    <row r="20" spans="1:4" ht="12.75">
      <c r="A20" s="1" t="s">
        <v>74</v>
      </c>
      <c r="D20">
        <f>ROUND(O48,2)</f>
        <v>0</v>
      </c>
    </row>
    <row r="21" spans="1:4" ht="12.75">
      <c r="A21" s="1" t="s">
        <v>73</v>
      </c>
      <c r="C21" s="33">
        <v>1</v>
      </c>
      <c r="D21">
        <f>IF(C21=1,ROUND(U48,2),0)</f>
        <v>0</v>
      </c>
    </row>
    <row r="22" spans="1:12" ht="13.5" thickBot="1">
      <c r="A22" s="1" t="str">
        <f>IF(D22&lt;0,"Subsidio para el empleo","Impuesto a cargo")</f>
        <v>Impuesto a cargo</v>
      </c>
      <c r="B22" s="6"/>
      <c r="C22" s="6"/>
      <c r="D22" s="22">
        <f>D20-D21</f>
        <v>0</v>
      </c>
      <c r="L22" s="7"/>
    </row>
    <row r="23" spans="1:4" ht="13.5" thickTop="1">
      <c r="A23" s="6"/>
      <c r="B23" s="6"/>
      <c r="C23" s="6"/>
      <c r="D23" s="6"/>
    </row>
    <row r="24" spans="1:4" ht="12.75">
      <c r="A24" t="s">
        <v>32</v>
      </c>
      <c r="B24" s="6"/>
      <c r="C24" s="6"/>
      <c r="D24" s="6"/>
    </row>
    <row r="25" spans="1:4" ht="12.75">
      <c r="A25" s="1" t="s">
        <v>33</v>
      </c>
      <c r="B25" s="32">
        <f>IF(C31=30.4,B10/30*1.0452,B10/C31*1.0452)</f>
        <v>0</v>
      </c>
      <c r="C25" s="6"/>
      <c r="D25" s="6"/>
    </row>
    <row r="26" spans="1:4" ht="12.75">
      <c r="A26" t="s">
        <v>34</v>
      </c>
      <c r="B26" s="34">
        <f>C31</f>
        <v>30.4</v>
      </c>
      <c r="C26" s="6"/>
      <c r="D26" s="6"/>
    </row>
    <row r="27" spans="1:4" ht="12.75">
      <c r="A27" t="s">
        <v>35</v>
      </c>
      <c r="B27">
        <f>B47</f>
        <v>804.5563679999999</v>
      </c>
      <c r="C27" s="6"/>
      <c r="D27" s="6"/>
    </row>
    <row r="28" spans="1:4" ht="12.75">
      <c r="A28" t="s">
        <v>36</v>
      </c>
      <c r="B28">
        <f>C47</f>
        <v>55.11748</v>
      </c>
      <c r="C28" s="6"/>
      <c r="D28" s="6"/>
    </row>
    <row r="29" spans="3:4" ht="12.75">
      <c r="C29" s="6"/>
      <c r="D29" s="6"/>
    </row>
    <row r="30" spans="1:14" ht="12.75">
      <c r="A30" s="1" t="s">
        <v>9</v>
      </c>
      <c r="C30" s="6"/>
      <c r="D30" s="6"/>
      <c r="K30" s="1" t="s">
        <v>16</v>
      </c>
      <c r="M30" s="31">
        <f>C31</f>
        <v>30.4</v>
      </c>
      <c r="N30" s="12"/>
    </row>
    <row r="31" spans="1:4" ht="12.75">
      <c r="A31" s="1" t="s">
        <v>80</v>
      </c>
      <c r="C31" s="34">
        <v>30.4</v>
      </c>
      <c r="D31" s="6"/>
    </row>
    <row r="32" spans="1:3" ht="12.75">
      <c r="A32" t="s">
        <v>37</v>
      </c>
      <c r="C32">
        <v>73.04</v>
      </c>
    </row>
    <row r="33" spans="1:18" ht="12.75">
      <c r="A33" t="s">
        <v>38</v>
      </c>
      <c r="C33">
        <f>C32</f>
        <v>73.04</v>
      </c>
      <c r="D33" s="6"/>
      <c r="K33" s="1" t="s">
        <v>10</v>
      </c>
      <c r="R33" s="1" t="s">
        <v>18</v>
      </c>
    </row>
    <row r="34" spans="1:4" ht="12.75">
      <c r="A34" s="1" t="s">
        <v>39</v>
      </c>
      <c r="C34" s="35">
        <v>0.005</v>
      </c>
      <c r="D34" s="6"/>
    </row>
    <row r="35" spans="1:20" ht="12.75">
      <c r="A35" s="24"/>
      <c r="B35" s="6"/>
      <c r="C35" s="23"/>
      <c r="D35" s="6"/>
      <c r="K35" t="s">
        <v>0</v>
      </c>
      <c r="L35" t="s">
        <v>0</v>
      </c>
      <c r="M35" t="s">
        <v>1</v>
      </c>
      <c r="N35" t="s">
        <v>2</v>
      </c>
      <c r="O35" t="s">
        <v>11</v>
      </c>
      <c r="R35" t="s">
        <v>7</v>
      </c>
      <c r="S35" t="s">
        <v>7</v>
      </c>
      <c r="T35" t="s">
        <v>12</v>
      </c>
    </row>
    <row r="36" spans="1:20" ht="12.75">
      <c r="A36" s="1" t="s">
        <v>40</v>
      </c>
      <c r="B36" s="5" t="s">
        <v>41</v>
      </c>
      <c r="C36" s="5" t="s">
        <v>42</v>
      </c>
      <c r="D36" s="5" t="s">
        <v>43</v>
      </c>
      <c r="K36" t="s">
        <v>3</v>
      </c>
      <c r="L36" t="s">
        <v>4</v>
      </c>
      <c r="M36" t="s">
        <v>5</v>
      </c>
      <c r="R36" t="s">
        <v>14</v>
      </c>
      <c r="S36" t="s">
        <v>15</v>
      </c>
      <c r="T36" t="s">
        <v>17</v>
      </c>
    </row>
    <row r="37" spans="1:21" ht="12.75">
      <c r="A37" s="1" t="s">
        <v>44</v>
      </c>
      <c r="B37">
        <f>C33*C62*B26</f>
        <v>452.964864</v>
      </c>
      <c r="C37">
        <v>0</v>
      </c>
      <c r="D37">
        <f aca="true" t="shared" si="1" ref="D37:D46">B37+C37</f>
        <v>452.964864</v>
      </c>
      <c r="K37">
        <v>0.01</v>
      </c>
      <c r="L37">
        <f aca="true" t="shared" si="2" ref="L37:M46">ROUND(L8/30.4*$M$30,2)</f>
        <v>496.07</v>
      </c>
      <c r="M37">
        <f t="shared" si="2"/>
        <v>0</v>
      </c>
      <c r="N37" s="3">
        <v>0.0192</v>
      </c>
      <c r="O37">
        <f>IF(AND($D$18&gt;0,$D$18&lt;K38),D18*N37,0)</f>
        <v>0</v>
      </c>
      <c r="R37">
        <v>0.01</v>
      </c>
      <c r="S37">
        <f aca="true" t="shared" si="3" ref="S37:T46">ROUND(S8/30.4*$M$30,2)</f>
        <v>1768.96</v>
      </c>
      <c r="T37">
        <f t="shared" si="3"/>
        <v>407.02</v>
      </c>
      <c r="U37">
        <f>IF(AND($D$18&gt;0,$D$18&lt;R38),T37,0)</f>
        <v>0</v>
      </c>
    </row>
    <row r="38" spans="1:21" ht="12.75">
      <c r="A38" s="1" t="s">
        <v>45</v>
      </c>
      <c r="B38">
        <f>D74*C63*B26</f>
        <v>0</v>
      </c>
      <c r="C38">
        <f>D74*C55*B26</f>
        <v>0</v>
      </c>
      <c r="D38">
        <f t="shared" si="1"/>
        <v>0</v>
      </c>
      <c r="K38">
        <f aca="true" t="shared" si="4" ref="K38:K43">0.01+L37</f>
        <v>496.08</v>
      </c>
      <c r="L38">
        <f t="shared" si="2"/>
        <v>4210.41</v>
      </c>
      <c r="M38">
        <f t="shared" si="2"/>
        <v>9.52</v>
      </c>
      <c r="N38" s="3">
        <v>0.064</v>
      </c>
      <c r="O38">
        <f aca="true" t="shared" si="5" ref="O38:O46">IF(AND($D$18&lt;K39,$D$18&gt;L37),($D$18-K38)*N38+M38,0)</f>
        <v>0</v>
      </c>
      <c r="R38">
        <f aca="true" t="shared" si="6" ref="R38:R47">0.01+S37</f>
        <v>1768.97</v>
      </c>
      <c r="S38">
        <f t="shared" si="3"/>
        <v>2653.38</v>
      </c>
      <c r="T38">
        <f t="shared" si="3"/>
        <v>406.83</v>
      </c>
      <c r="U38">
        <f aca="true" t="shared" si="7" ref="U38:U46">IF(AND($D$18&gt;S37,$D$18&lt;R39),T38,0)</f>
        <v>0</v>
      </c>
    </row>
    <row r="39" spans="1:21" ht="12.75">
      <c r="A39" s="1" t="s">
        <v>46</v>
      </c>
      <c r="B39">
        <f>D75*C64*B26</f>
        <v>16.245152</v>
      </c>
      <c r="C39">
        <f>D75*C56*B26</f>
        <v>5.80184</v>
      </c>
      <c r="D39">
        <f t="shared" si="1"/>
        <v>22.046992000000003</v>
      </c>
      <c r="K39">
        <f t="shared" si="4"/>
        <v>4210.42</v>
      </c>
      <c r="L39">
        <f t="shared" si="2"/>
        <v>7399.42</v>
      </c>
      <c r="M39">
        <f t="shared" si="2"/>
        <v>247.24</v>
      </c>
      <c r="N39" s="3">
        <v>0.10880000000000001</v>
      </c>
      <c r="O39">
        <f t="shared" si="5"/>
        <v>0</v>
      </c>
      <c r="R39">
        <f t="shared" si="6"/>
        <v>2653.3900000000003</v>
      </c>
      <c r="S39">
        <f t="shared" si="3"/>
        <v>3472.84</v>
      </c>
      <c r="T39">
        <f t="shared" si="3"/>
        <v>406.62</v>
      </c>
      <c r="U39">
        <f t="shared" si="7"/>
        <v>0</v>
      </c>
    </row>
    <row r="40" spans="1:21" ht="12.75">
      <c r="A40" s="1" t="s">
        <v>47</v>
      </c>
      <c r="B40">
        <f>D75*C65*B26</f>
        <v>24.367728000000003</v>
      </c>
      <c r="C40">
        <f>D75*C57*B26</f>
        <v>8.70276</v>
      </c>
      <c r="D40">
        <f t="shared" si="1"/>
        <v>33.070488000000005</v>
      </c>
      <c r="K40">
        <f t="shared" si="4"/>
        <v>7399.43</v>
      </c>
      <c r="L40">
        <f t="shared" si="2"/>
        <v>8601.5</v>
      </c>
      <c r="M40">
        <f t="shared" si="2"/>
        <v>594.21</v>
      </c>
      <c r="N40" s="3">
        <v>0.16</v>
      </c>
      <c r="O40">
        <f t="shared" si="5"/>
        <v>0</v>
      </c>
      <c r="R40">
        <f t="shared" si="6"/>
        <v>3472.8500000000004</v>
      </c>
      <c r="S40">
        <f t="shared" si="3"/>
        <v>3537.87</v>
      </c>
      <c r="T40">
        <f t="shared" si="3"/>
        <v>392.77</v>
      </c>
      <c r="U40">
        <f t="shared" si="7"/>
        <v>0</v>
      </c>
    </row>
    <row r="41" spans="1:21" ht="12.75">
      <c r="A41" s="1" t="s">
        <v>48</v>
      </c>
      <c r="B41">
        <f>D75*C66*B26</f>
        <v>40.612880000000004</v>
      </c>
      <c r="C41">
        <f>D75*C58*B26</f>
        <v>14.5046</v>
      </c>
      <c r="D41">
        <f t="shared" si="1"/>
        <v>55.11748</v>
      </c>
      <c r="K41">
        <f t="shared" si="4"/>
        <v>8601.51</v>
      </c>
      <c r="L41">
        <f t="shared" si="2"/>
        <v>10298.35</v>
      </c>
      <c r="M41">
        <f t="shared" si="2"/>
        <v>786.54</v>
      </c>
      <c r="N41" s="3">
        <v>0.17920000000000003</v>
      </c>
      <c r="O41">
        <f t="shared" si="5"/>
        <v>0</v>
      </c>
      <c r="R41">
        <f t="shared" si="6"/>
        <v>3537.88</v>
      </c>
      <c r="S41">
        <f t="shared" si="3"/>
        <v>4446.15</v>
      </c>
      <c r="T41">
        <f t="shared" si="3"/>
        <v>382.46</v>
      </c>
      <c r="U41">
        <f t="shared" si="7"/>
        <v>0</v>
      </c>
    </row>
    <row r="42" spans="1:21" ht="12.75">
      <c r="A42" t="s">
        <v>49</v>
      </c>
      <c r="B42">
        <f>D75*C67*B26</f>
        <v>46.41472</v>
      </c>
      <c r="C42">
        <v>0</v>
      </c>
      <c r="D42">
        <f t="shared" si="1"/>
        <v>46.41472</v>
      </c>
      <c r="K42">
        <f t="shared" si="4"/>
        <v>10298.36</v>
      </c>
      <c r="L42">
        <f t="shared" si="2"/>
        <v>20770.29</v>
      </c>
      <c r="M42">
        <f t="shared" si="2"/>
        <v>1090.61</v>
      </c>
      <c r="N42" s="3">
        <v>0.2136</v>
      </c>
      <c r="O42">
        <f t="shared" si="5"/>
        <v>0</v>
      </c>
      <c r="R42">
        <f t="shared" si="6"/>
        <v>4446.16</v>
      </c>
      <c r="S42">
        <f t="shared" si="3"/>
        <v>4717.18</v>
      </c>
      <c r="T42">
        <f t="shared" si="3"/>
        <v>354.23</v>
      </c>
      <c r="U42">
        <f t="shared" si="7"/>
        <v>0</v>
      </c>
    </row>
    <row r="43" spans="1:21" ht="12.75">
      <c r="A43" s="1" t="s">
        <v>50</v>
      </c>
      <c r="B43">
        <f>D75*C68*B26</f>
        <v>73.103184</v>
      </c>
      <c r="C43">
        <f>D75*C59*B26</f>
        <v>26.10828</v>
      </c>
      <c r="D43">
        <f t="shared" si="1"/>
        <v>99.211464</v>
      </c>
      <c r="K43">
        <f t="shared" si="4"/>
        <v>20770.3</v>
      </c>
      <c r="L43">
        <f t="shared" si="2"/>
        <v>32736.83</v>
      </c>
      <c r="M43">
        <f t="shared" si="2"/>
        <v>3327.42</v>
      </c>
      <c r="N43" s="3">
        <v>0.2352</v>
      </c>
      <c r="O43">
        <f t="shared" si="5"/>
        <v>0</v>
      </c>
      <c r="R43">
        <f t="shared" si="6"/>
        <v>4717.1900000000005</v>
      </c>
      <c r="S43">
        <f t="shared" si="3"/>
        <v>5335.42</v>
      </c>
      <c r="T43">
        <f t="shared" si="3"/>
        <v>324.87</v>
      </c>
      <c r="U43">
        <f t="shared" si="7"/>
        <v>0</v>
      </c>
    </row>
    <row r="44" spans="1:21" ht="12.75">
      <c r="A44" t="s">
        <v>51</v>
      </c>
      <c r="B44">
        <f>D75*C69*B26</f>
        <v>23.20736</v>
      </c>
      <c r="C44">
        <v>0</v>
      </c>
      <c r="D44">
        <f t="shared" si="1"/>
        <v>23.20736</v>
      </c>
      <c r="K44">
        <f>0.01+L43</f>
        <v>32736.84</v>
      </c>
      <c r="L44">
        <f t="shared" si="2"/>
        <v>62500</v>
      </c>
      <c r="M44">
        <f t="shared" si="2"/>
        <v>6141.95</v>
      </c>
      <c r="N44" s="3">
        <v>0.3</v>
      </c>
      <c r="O44">
        <f t="shared" si="5"/>
        <v>0</v>
      </c>
      <c r="R44">
        <f t="shared" si="6"/>
        <v>5335.43</v>
      </c>
      <c r="S44">
        <f t="shared" si="3"/>
        <v>6224.67</v>
      </c>
      <c r="T44">
        <f t="shared" si="3"/>
        <v>294.63</v>
      </c>
      <c r="U44">
        <f t="shared" si="7"/>
        <v>0</v>
      </c>
    </row>
    <row r="45" spans="1:21" ht="12.75">
      <c r="A45" t="s">
        <v>52</v>
      </c>
      <c r="B45">
        <f>D75*C70*B26</f>
        <v>11.60368</v>
      </c>
      <c r="C45">
        <v>0</v>
      </c>
      <c r="D45">
        <f t="shared" si="1"/>
        <v>11.60368</v>
      </c>
      <c r="K45">
        <f>0.01+L44</f>
        <v>62500.01</v>
      </c>
      <c r="L45">
        <f t="shared" si="2"/>
        <v>83333.33</v>
      </c>
      <c r="M45">
        <f t="shared" si="2"/>
        <v>15070.9</v>
      </c>
      <c r="N45" s="3">
        <v>0.32</v>
      </c>
      <c r="O45">
        <f t="shared" si="5"/>
        <v>0</v>
      </c>
      <c r="R45">
        <f t="shared" si="6"/>
        <v>6224.68</v>
      </c>
      <c r="S45">
        <f t="shared" si="3"/>
        <v>7113.9</v>
      </c>
      <c r="T45">
        <f t="shared" si="3"/>
        <v>253.54</v>
      </c>
      <c r="U45">
        <f t="shared" si="7"/>
        <v>0</v>
      </c>
    </row>
    <row r="46" spans="1:21" ht="12.75">
      <c r="A46" t="s">
        <v>53</v>
      </c>
      <c r="B46">
        <f>D75*C71*B26</f>
        <v>116.0368</v>
      </c>
      <c r="C46">
        <v>0</v>
      </c>
      <c r="D46">
        <f t="shared" si="1"/>
        <v>116.0368</v>
      </c>
      <c r="K46">
        <f>0.01+L45</f>
        <v>83333.34</v>
      </c>
      <c r="L46">
        <f t="shared" si="2"/>
        <v>250000</v>
      </c>
      <c r="M46">
        <f t="shared" si="2"/>
        <v>21737.57</v>
      </c>
      <c r="N46" s="3">
        <v>0.34</v>
      </c>
      <c r="O46">
        <f t="shared" si="5"/>
        <v>0</v>
      </c>
      <c r="R46">
        <f t="shared" si="6"/>
        <v>7113.91</v>
      </c>
      <c r="S46">
        <f t="shared" si="3"/>
        <v>7382.33</v>
      </c>
      <c r="T46">
        <f t="shared" si="3"/>
        <v>217.61</v>
      </c>
      <c r="U46">
        <f t="shared" si="7"/>
        <v>0</v>
      </c>
    </row>
    <row r="47" spans="1:21" ht="12.75">
      <c r="A47" s="1" t="s">
        <v>8</v>
      </c>
      <c r="B47">
        <f>SUM(B37:B46)</f>
        <v>804.5563679999999</v>
      </c>
      <c r="C47">
        <f>SUM(C37:C46)</f>
        <v>55.11748</v>
      </c>
      <c r="D47">
        <f>SUM(D37:D46)</f>
        <v>859.673848</v>
      </c>
      <c r="K47">
        <f>0.01+L46</f>
        <v>250000.01</v>
      </c>
      <c r="L47" s="5" t="s">
        <v>13</v>
      </c>
      <c r="M47">
        <f>ROUND(M18/30.4*$M$30,2)</f>
        <v>78404.23</v>
      </c>
      <c r="N47" s="3">
        <v>0.35</v>
      </c>
      <c r="O47">
        <f>IF($D$18&gt;L46,($D$18-K47)*N47+M47,0)</f>
        <v>0</v>
      </c>
      <c r="R47">
        <f t="shared" si="6"/>
        <v>7382.34</v>
      </c>
      <c r="S47" s="5" t="s">
        <v>13</v>
      </c>
      <c r="T47">
        <f>ROUND(T18*$M$30,2)</f>
        <v>0</v>
      </c>
      <c r="U47">
        <f>IF($D$18&gt;S46,T47,0)</f>
        <v>0</v>
      </c>
    </row>
    <row r="48" spans="1:21" ht="12.75">
      <c r="A48" s="1" t="s">
        <v>54</v>
      </c>
      <c r="B48">
        <f>(B18-B15)*0.02</f>
        <v>0</v>
      </c>
      <c r="O48">
        <f>SUM(O37:O47)</f>
        <v>0</v>
      </c>
      <c r="U48">
        <f>SUM(U37:U47)</f>
        <v>0</v>
      </c>
    </row>
    <row r="49" ht="12.75">
      <c r="A49" s="1" t="s">
        <v>55</v>
      </c>
    </row>
    <row r="52" spans="1:4" ht="12.75">
      <c r="A52" s="25" t="s">
        <v>56</v>
      </c>
      <c r="B52" s="25"/>
      <c r="C52" s="25"/>
      <c r="D52" s="25"/>
    </row>
    <row r="54" spans="1:4" ht="25.5">
      <c r="A54" t="s">
        <v>57</v>
      </c>
      <c r="C54" s="26" t="s">
        <v>2</v>
      </c>
      <c r="D54" s="27" t="s">
        <v>58</v>
      </c>
    </row>
    <row r="55" spans="1:4" ht="12.75">
      <c r="A55" s="9" t="s">
        <v>59</v>
      </c>
      <c r="C55" s="28">
        <v>0.004</v>
      </c>
      <c r="D55" s="10">
        <v>25</v>
      </c>
    </row>
    <row r="56" spans="1:4" ht="12.75">
      <c r="A56" s="9" t="s">
        <v>60</v>
      </c>
      <c r="C56" s="28">
        <v>0.0025</v>
      </c>
      <c r="D56" s="10">
        <v>25</v>
      </c>
    </row>
    <row r="57" spans="1:4" ht="12.75">
      <c r="A57" s="9" t="s">
        <v>61</v>
      </c>
      <c r="C57" s="29">
        <v>0.00375</v>
      </c>
      <c r="D57" s="10">
        <v>25</v>
      </c>
    </row>
    <row r="58" spans="1:4" ht="12.75">
      <c r="A58" s="9" t="s">
        <v>62</v>
      </c>
      <c r="C58" s="29">
        <v>0.00625</v>
      </c>
      <c r="D58" s="10">
        <v>25</v>
      </c>
    </row>
    <row r="59" spans="1:4" ht="12.75">
      <c r="A59" s="9" t="s">
        <v>63</v>
      </c>
      <c r="C59" s="29">
        <v>0.01125</v>
      </c>
      <c r="D59" s="10">
        <v>25</v>
      </c>
    </row>
    <row r="61" ht="12.75">
      <c r="A61" t="s">
        <v>64</v>
      </c>
    </row>
    <row r="62" spans="1:4" ht="12.75">
      <c r="A62" s="9" t="s">
        <v>65</v>
      </c>
      <c r="C62" s="28">
        <v>0.204</v>
      </c>
      <c r="D62" s="10">
        <v>1</v>
      </c>
    </row>
    <row r="63" spans="1:4" ht="12.75">
      <c r="A63" s="9" t="s">
        <v>59</v>
      </c>
      <c r="C63" s="28">
        <v>0.011</v>
      </c>
      <c r="D63" s="10">
        <v>25</v>
      </c>
    </row>
    <row r="64" spans="1:4" ht="12.75">
      <c r="A64" s="9" t="s">
        <v>60</v>
      </c>
      <c r="C64" s="28">
        <v>0.007</v>
      </c>
      <c r="D64" s="10">
        <v>25</v>
      </c>
    </row>
    <row r="65" spans="1:4" ht="12.75">
      <c r="A65" s="9" t="s">
        <v>61</v>
      </c>
      <c r="C65" s="28">
        <v>0.0105</v>
      </c>
      <c r="D65" s="10">
        <v>25</v>
      </c>
    </row>
    <row r="66" spans="1:4" ht="12.75">
      <c r="A66" s="9" t="s">
        <v>62</v>
      </c>
      <c r="C66" s="28">
        <v>0.0175</v>
      </c>
      <c r="D66" s="10">
        <v>25</v>
      </c>
    </row>
    <row r="67" spans="1:4" ht="12.75">
      <c r="A67" s="9" t="s">
        <v>66</v>
      </c>
      <c r="C67" s="28">
        <v>0.02</v>
      </c>
      <c r="D67" s="10">
        <v>25</v>
      </c>
    </row>
    <row r="68" spans="1:4" ht="12.75">
      <c r="A68" s="9" t="s">
        <v>63</v>
      </c>
      <c r="C68" s="28">
        <v>0.0315</v>
      </c>
      <c r="D68" s="10">
        <v>25</v>
      </c>
    </row>
    <row r="69" spans="1:4" ht="12.75">
      <c r="A69" s="9" t="s">
        <v>67</v>
      </c>
      <c r="C69" s="28">
        <v>0.01</v>
      </c>
      <c r="D69" s="10">
        <v>25</v>
      </c>
    </row>
    <row r="70" spans="1:4" ht="12.75">
      <c r="A70" s="9" t="s">
        <v>68</v>
      </c>
      <c r="C70" s="30">
        <f>C34</f>
        <v>0.005</v>
      </c>
      <c r="D70" s="10">
        <v>25</v>
      </c>
    </row>
    <row r="71" spans="1:4" ht="12.75">
      <c r="A71" t="s">
        <v>69</v>
      </c>
      <c r="C71" s="29">
        <v>0.05</v>
      </c>
      <c r="D71" s="10">
        <v>25</v>
      </c>
    </row>
    <row r="73" ht="12.75">
      <c r="A73" s="1" t="s">
        <v>70</v>
      </c>
    </row>
    <row r="74" spans="1:4" ht="12.75">
      <c r="A74" s="9" t="s">
        <v>71</v>
      </c>
      <c r="D74">
        <f>ROUND(IF(B25&lt;C33*25,IF(B25&lt;3*C33,0,B25-3*C33),C33*25-3*C33),2)</f>
        <v>0</v>
      </c>
    </row>
    <row r="75" spans="1:4" ht="12.75">
      <c r="A75" s="1" t="s">
        <v>72</v>
      </c>
      <c r="D75">
        <f>ROUND(IF(B25&lt;C32*1.0452,C32*1.0452,IF(B25&lt;C33*25,B25,C33*25)),2)</f>
        <v>76.34</v>
      </c>
    </row>
    <row r="79" ht="12.75">
      <c r="A79" t="s">
        <v>75</v>
      </c>
    </row>
    <row r="80" ht="12.75">
      <c r="A80" s="1" t="s">
        <v>78</v>
      </c>
    </row>
    <row r="81" ht="12.75">
      <c r="A81" t="s">
        <v>76</v>
      </c>
    </row>
    <row r="82" ht="12.75">
      <c r="A82" t="s">
        <v>77</v>
      </c>
    </row>
    <row r="83" ht="12.75">
      <c r="A83" s="1" t="s">
        <v>79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paperSiz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2017-03-13T17:13:31Z</cp:lastPrinted>
  <dcterms:created xsi:type="dcterms:W3CDTF">2005-02-24T01:13:05Z</dcterms:created>
  <dcterms:modified xsi:type="dcterms:W3CDTF">2017-03-13T17:13:32Z</dcterms:modified>
  <cp:category/>
  <cp:version/>
  <cp:contentType/>
  <cp:contentStatus/>
</cp:coreProperties>
</file>