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Opcion" sheetId="1" r:id="rId1"/>
  </sheets>
  <definedNames>
    <definedName name="_xlnm.Print_Area" localSheetId="0">'Opcion'!$A$1:$D$45</definedName>
  </definedNames>
  <calcPr fullCalcOnLoad="1"/>
</workbook>
</file>

<file path=xl/sharedStrings.xml><?xml version="1.0" encoding="utf-8"?>
<sst xmlns="http://schemas.openxmlformats.org/spreadsheetml/2006/main" count="59" uniqueCount="52">
  <si>
    <t>aplicando la opción del artículo 142 del Reglamento de la LISR</t>
  </si>
  <si>
    <t>Ingresos</t>
  </si>
  <si>
    <t>desde</t>
  </si>
  <si>
    <t>hasta</t>
  </si>
  <si>
    <t>Nombre del trabajador</t>
  </si>
  <si>
    <t>Límite</t>
  </si>
  <si>
    <t>Cuota</t>
  </si>
  <si>
    <t>Porcentaje</t>
  </si>
  <si>
    <t>Subsidio</t>
  </si>
  <si>
    <t>Concepto del ingreso</t>
  </si>
  <si>
    <t>Monto total</t>
  </si>
  <si>
    <t>Parte exenta</t>
  </si>
  <si>
    <t>Monto gravable</t>
  </si>
  <si>
    <t>inferior</t>
  </si>
  <si>
    <t>superior</t>
  </si>
  <si>
    <t>fija</t>
  </si>
  <si>
    <t>Sueldos y salarios</t>
  </si>
  <si>
    <t>Tiempo extra</t>
  </si>
  <si>
    <t>Fondo de ahorro</t>
  </si>
  <si>
    <t>Previsión social</t>
  </si>
  <si>
    <t>Otras remuneraciones ordinarias</t>
  </si>
  <si>
    <t>PTU</t>
  </si>
  <si>
    <t>Aguinaldo</t>
  </si>
  <si>
    <t>Otras remuneraciones extraordinarias</t>
  </si>
  <si>
    <t>Totales</t>
  </si>
  <si>
    <t>En adelante</t>
  </si>
  <si>
    <t>Procedimiento del artículo 86:</t>
  </si>
  <si>
    <t>I.- Se divide la remuneración extraordinaria entre 365 y se multiplica por 30.4</t>
  </si>
  <si>
    <t>II.- A la cantidad anterior se le suma la remuneración normal</t>
  </si>
  <si>
    <t xml:space="preserve">    Procedimiento del artículo 113:</t>
  </si>
  <si>
    <t xml:space="preserve">    Impuesto artículo 113 aplicado a la cantidad anterior</t>
  </si>
  <si>
    <t xml:space="preserve">     Crédito al salario artículo 115</t>
  </si>
  <si>
    <t>III.- Remuneración normal</t>
  </si>
  <si>
    <t xml:space="preserve">     Impuesto correspondiente a la remuneración normal (fracción III)</t>
  </si>
  <si>
    <t>Diferencia entre ambos impuestos (fracción II menos fracción III)</t>
  </si>
  <si>
    <t>V.- Tasa de retención de la remuneración extraordinaria</t>
  </si>
  <si>
    <t>IV.- Impuesto a retener remuneración extraordinaria</t>
  </si>
  <si>
    <t>Datos generales:</t>
  </si>
  <si>
    <t>Salario mínimo general diario</t>
  </si>
  <si>
    <t>NO</t>
  </si>
  <si>
    <t>¿Desea calcular ISR negativo (crédito al salario)?  ( 1 = Sí )</t>
  </si>
  <si>
    <t>Tarifa artículo 113</t>
  </si>
  <si>
    <t>Impuesto 2</t>
  </si>
  <si>
    <t>Subsidio para el empleo</t>
  </si>
  <si>
    <t>para el e.1</t>
  </si>
  <si>
    <t>para el e.2</t>
  </si>
  <si>
    <t>Impuesto 1</t>
  </si>
  <si>
    <t xml:space="preserve">    Subsidio al empleo</t>
  </si>
  <si>
    <t xml:space="preserve">    Impuesto correspondiente a la fracción II</t>
  </si>
  <si>
    <t>Enero 2010</t>
  </si>
  <si>
    <t>Zona económica del trabajador (A=1, B=2)</t>
  </si>
  <si>
    <t>Cálculo del impuesto sobre la renta de las personas físicas 2013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</si>
</sst>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5" fontId="0" fillId="0" borderId="0" xfId="0" applyNumberFormat="1" applyAlignment="1">
      <alignment/>
    </xf>
    <xf numFmtId="4" fontId="0" fillId="0" borderId="1" xfId="0" applyBorder="1" applyAlignment="1">
      <alignment/>
    </xf>
    <xf numFmtId="4" fontId="0" fillId="0" borderId="2" xfId="0" applyBorder="1" applyAlignment="1">
      <alignment/>
    </xf>
    <xf numFmtId="10" fontId="0" fillId="0" borderId="0" xfId="21" applyNumberFormat="1" applyAlignment="1">
      <alignment/>
    </xf>
    <xf numFmtId="4" fontId="0" fillId="0" borderId="1" xfId="0" applyBorder="1" applyAlignment="1">
      <alignment horizontal="center" vertical="center" wrapText="1"/>
    </xf>
    <xf numFmtId="4" fontId="0" fillId="0" borderId="3" xfId="0" applyBorder="1" applyAlignment="1">
      <alignment vertical="center" wrapText="1"/>
    </xf>
    <xf numFmtId="4" fontId="0" fillId="0" borderId="4" xfId="0" applyBorder="1" applyAlignment="1">
      <alignment/>
    </xf>
    <xf numFmtId="4" fontId="0" fillId="0" borderId="3" xfId="0" applyBorder="1" applyAlignment="1">
      <alignment/>
    </xf>
    <xf numFmtId="4" fontId="0" fillId="0" borderId="5" xfId="0" applyBorder="1" applyAlignment="1">
      <alignment horizontal="center" vertical="center" wrapText="1"/>
    </xf>
    <xf numFmtId="4" fontId="0" fillId="0" borderId="6" xfId="0" applyBorder="1" applyAlignment="1">
      <alignment/>
    </xf>
    <xf numFmtId="4" fontId="0" fillId="0" borderId="5" xfId="0" applyBorder="1" applyAlignment="1">
      <alignment/>
    </xf>
    <xf numFmtId="10" fontId="0" fillId="0" borderId="0" xfId="0" applyNumberFormat="1" applyAlignment="1" applyProtection="1">
      <alignment/>
      <protection/>
    </xf>
    <xf numFmtId="4" fontId="0" fillId="0" borderId="7" xfId="0" applyNumberFormat="1" applyBorder="1" applyAlignment="1">
      <alignment/>
    </xf>
    <xf numFmtId="20" fontId="0" fillId="0" borderId="0" xfId="0" applyNumberFormat="1" applyAlignment="1">
      <alignment/>
    </xf>
    <xf numFmtId="4" fontId="0" fillId="0" borderId="0" xfId="0" applyAlignment="1">
      <alignment horizontal="right"/>
    </xf>
    <xf numFmtId="4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 locked="0"/>
    </xf>
    <xf numFmtId="4" fontId="0" fillId="0" borderId="0" xfId="0" applyAlignment="1" quotePrefix="1">
      <alignment horizontal="right"/>
    </xf>
    <xf numFmtId="4" fontId="0" fillId="0" borderId="0" xfId="0" applyAlignment="1" quotePrefix="1">
      <alignment/>
    </xf>
    <xf numFmtId="4" fontId="0" fillId="0" borderId="0" xfId="0" applyAlignment="1">
      <alignment horizontal="left"/>
    </xf>
    <xf numFmtId="0" fontId="0" fillId="2" borderId="0" xfId="0" applyNumberFormat="1" applyFill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tabSelected="1" workbookViewId="0" topLeftCell="A1">
      <selection activeCell="B5" sqref="B5"/>
    </sheetView>
  </sheetViews>
  <sheetFormatPr defaultColWidth="11.421875" defaultRowHeight="12.75"/>
  <cols>
    <col min="1" max="1" width="32.00390625" style="0" customWidth="1"/>
    <col min="2" max="2" width="17.7109375" style="0" customWidth="1"/>
    <col min="3" max="3" width="15.7109375" style="0" customWidth="1"/>
    <col min="4" max="4" width="16.7109375" style="0" customWidth="1"/>
    <col min="5" max="9" width="20.7109375" style="0" customWidth="1"/>
    <col min="10" max="15" width="12.7109375" style="0" customWidth="1"/>
    <col min="16" max="16" width="1.7109375" style="0" customWidth="1"/>
    <col min="17" max="21" width="12.7109375" style="0" customWidth="1"/>
    <col min="22" max="16384" width="13.28125" style="0" customWidth="1"/>
  </cols>
  <sheetData>
    <row r="1" spans="1:17" ht="12.75">
      <c r="A1" s="2" t="s">
        <v>51</v>
      </c>
      <c r="B1" s="2"/>
      <c r="C1" s="2"/>
      <c r="D1" s="2"/>
      <c r="J1" s="1" t="s">
        <v>41</v>
      </c>
      <c r="Q1" s="22" t="s">
        <v>43</v>
      </c>
    </row>
    <row r="2" spans="1:4" ht="12.75">
      <c r="A2" s="2" t="s">
        <v>0</v>
      </c>
      <c r="B2" s="2"/>
      <c r="C2" s="2"/>
      <c r="D2" s="2"/>
    </row>
    <row r="4" ht="12.75">
      <c r="J4" s="1" t="s">
        <v>49</v>
      </c>
    </row>
    <row r="5" spans="1:21" ht="12.75">
      <c r="A5" t="s">
        <v>4</v>
      </c>
      <c r="B5" s="18" t="s">
        <v>4</v>
      </c>
      <c r="C5" s="18"/>
      <c r="D5" s="3">
        <f ca="1">TODAY()</f>
        <v>41277</v>
      </c>
      <c r="Q5" t="s">
        <v>1</v>
      </c>
      <c r="R5" t="s">
        <v>1</v>
      </c>
      <c r="T5" t="s">
        <v>8</v>
      </c>
      <c r="U5" t="s">
        <v>8</v>
      </c>
    </row>
    <row r="6" spans="2:21" ht="12.75">
      <c r="B6" s="18"/>
      <c r="C6" s="18"/>
      <c r="D6" s="16">
        <f ca="1">NOW()</f>
        <v>41277.45510810185</v>
      </c>
      <c r="J6" t="s">
        <v>5</v>
      </c>
      <c r="K6" t="s">
        <v>5</v>
      </c>
      <c r="L6" t="s">
        <v>6</v>
      </c>
      <c r="M6" t="s">
        <v>7</v>
      </c>
      <c r="N6" s="1" t="s">
        <v>46</v>
      </c>
      <c r="O6" s="1" t="s">
        <v>42</v>
      </c>
      <c r="Q6" t="s">
        <v>2</v>
      </c>
      <c r="R6" t="s">
        <v>3</v>
      </c>
      <c r="T6" s="1" t="s">
        <v>44</v>
      </c>
      <c r="U6" s="1" t="s">
        <v>45</v>
      </c>
    </row>
    <row r="7" spans="1:21" ht="12.75">
      <c r="A7" s="8" t="s">
        <v>9</v>
      </c>
      <c r="B7" s="7" t="s">
        <v>10</v>
      </c>
      <c r="C7" s="7" t="s">
        <v>11</v>
      </c>
      <c r="D7" s="11" t="s">
        <v>12</v>
      </c>
      <c r="J7" t="s">
        <v>13</v>
      </c>
      <c r="K7" t="s">
        <v>14</v>
      </c>
      <c r="L7" t="s">
        <v>15</v>
      </c>
      <c r="Q7">
        <v>0.01</v>
      </c>
      <c r="R7">
        <v>1768.96</v>
      </c>
      <c r="S7">
        <v>407.02</v>
      </c>
      <c r="T7">
        <f>IF(AND($D$22&gt;0,$D$22&lt;Q8),S7,0)</f>
        <v>0</v>
      </c>
      <c r="U7">
        <f>IF(AND($D$28&gt;0,$D$28&lt;Q8),S7,0)</f>
        <v>0</v>
      </c>
    </row>
    <row r="8" spans="1:21" ht="12.75">
      <c r="A8" s="9" t="s">
        <v>16</v>
      </c>
      <c r="B8" s="18">
        <v>10000</v>
      </c>
      <c r="C8" s="18"/>
      <c r="D8" s="12">
        <f aca="true" t="shared" si="0" ref="D8:D15">IF(B8&lt;C8,0,B8-C8)</f>
        <v>10000</v>
      </c>
      <c r="J8">
        <v>0.01</v>
      </c>
      <c r="K8">
        <v>496.07</v>
      </c>
      <c r="L8">
        <v>0</v>
      </c>
      <c r="M8" s="6">
        <v>0.0192</v>
      </c>
      <c r="N8">
        <f>IF(AND($D$22&gt;0,$D$22&lt;J9),$D$22*M8,0)</f>
        <v>0</v>
      </c>
      <c r="O8">
        <f>IF(AND($D$28&gt;0,$D$28&lt;J9),$D$28*M8,0)</f>
        <v>0</v>
      </c>
      <c r="Q8">
        <v>1768.97</v>
      </c>
      <c r="R8">
        <v>2653.38</v>
      </c>
      <c r="S8">
        <v>406.83</v>
      </c>
      <c r="T8">
        <f>IF(AND($D$22&gt;R7,$D$22&lt;Q9),S8,0)</f>
        <v>0</v>
      </c>
      <c r="U8">
        <f>IF(AND($D$28&gt;R7,$D$28&lt;Q9),S8,0)</f>
        <v>0</v>
      </c>
    </row>
    <row r="9" spans="1:21" ht="12.75">
      <c r="A9" s="9" t="s">
        <v>17</v>
      </c>
      <c r="B9" s="18"/>
      <c r="C9" s="18"/>
      <c r="D9" s="12">
        <f t="shared" si="0"/>
        <v>0</v>
      </c>
      <c r="J9">
        <v>496.08</v>
      </c>
      <c r="K9">
        <v>4210.41</v>
      </c>
      <c r="L9">
        <v>9.52</v>
      </c>
      <c r="M9" s="6">
        <v>0.064</v>
      </c>
      <c r="N9">
        <f aca="true" t="shared" si="1" ref="N9:N14">IF(AND($D$22&lt;J10,$D$22&gt;K8),($D$22-J9)*M9+L9,0)</f>
        <v>0</v>
      </c>
      <c r="O9">
        <f aca="true" t="shared" si="2" ref="O9:O14">IF(AND($D$28&lt;J10,$D$28&gt;K8),($D$28-J9)*M9+L9,0)</f>
        <v>0</v>
      </c>
      <c r="Q9">
        <v>2653.39</v>
      </c>
      <c r="R9">
        <v>3472.84</v>
      </c>
      <c r="S9">
        <v>406.62</v>
      </c>
      <c r="T9">
        <f aca="true" t="shared" si="3" ref="T9:T16">IF(AND($D$22&gt;R8,$D$22&lt;Q10),S9,0)</f>
        <v>0</v>
      </c>
      <c r="U9">
        <f aca="true" t="shared" si="4" ref="U9:U16">IF(AND($D$28&gt;R8,$D$28&lt;Q10),S9,0)</f>
        <v>0</v>
      </c>
    </row>
    <row r="10" spans="1:21" ht="12.75">
      <c r="A10" s="9" t="s">
        <v>18</v>
      </c>
      <c r="B10" s="18"/>
      <c r="C10">
        <f>IF(C45*0.13*10*30.4&lt;B10,C45*0.13*10*30.4,B10)</f>
        <v>0</v>
      </c>
      <c r="D10" s="12">
        <f t="shared" si="0"/>
        <v>0</v>
      </c>
      <c r="J10">
        <v>4210.42</v>
      </c>
      <c r="K10">
        <v>7399.42</v>
      </c>
      <c r="L10">
        <v>247.23</v>
      </c>
      <c r="M10" s="6">
        <v>0.10880000000000001</v>
      </c>
      <c r="N10">
        <f t="shared" si="1"/>
        <v>0</v>
      </c>
      <c r="O10">
        <f t="shared" si="2"/>
        <v>0</v>
      </c>
      <c r="Q10">
        <v>3472.85</v>
      </c>
      <c r="R10">
        <v>3537.87</v>
      </c>
      <c r="S10">
        <v>392.77</v>
      </c>
      <c r="T10">
        <f t="shared" si="3"/>
        <v>0</v>
      </c>
      <c r="U10">
        <f t="shared" si="4"/>
        <v>0</v>
      </c>
    </row>
    <row r="11" spans="1:21" ht="12.75">
      <c r="A11" s="9" t="s">
        <v>19</v>
      </c>
      <c r="B11" s="18"/>
      <c r="C11">
        <f>IF(C45*30.4*7-SUM(B8:B10)&lt;C45*30.4,IF(C45*30.4&gt;B11,B11,C45*30.4),IF(C45*30.4*7-SUM(B8:B10)&gt;B11,B11,C45*30.4*7-SUM(B8:B10)))</f>
        <v>0</v>
      </c>
      <c r="D11" s="12">
        <f t="shared" si="0"/>
        <v>0</v>
      </c>
      <c r="J11">
        <v>7399.43</v>
      </c>
      <c r="K11">
        <v>8601.5</v>
      </c>
      <c r="L11">
        <v>594.24</v>
      </c>
      <c r="M11" s="6">
        <v>0.16</v>
      </c>
      <c r="N11">
        <f t="shared" si="1"/>
        <v>0</v>
      </c>
      <c r="O11">
        <f t="shared" si="2"/>
        <v>0</v>
      </c>
      <c r="Q11">
        <v>3537.88</v>
      </c>
      <c r="R11">
        <v>4446.15</v>
      </c>
      <c r="S11">
        <v>382.46</v>
      </c>
      <c r="T11">
        <f t="shared" si="3"/>
        <v>0</v>
      </c>
      <c r="U11">
        <f t="shared" si="4"/>
        <v>0</v>
      </c>
    </row>
    <row r="12" spans="1:21" ht="12.75">
      <c r="A12" s="9" t="s">
        <v>20</v>
      </c>
      <c r="B12" s="18"/>
      <c r="C12" s="18"/>
      <c r="D12" s="12">
        <f t="shared" si="0"/>
        <v>0</v>
      </c>
      <c r="J12">
        <v>8601.51</v>
      </c>
      <c r="K12" s="20">
        <v>10298.35</v>
      </c>
      <c r="L12">
        <v>786.55</v>
      </c>
      <c r="M12" s="6">
        <v>0.17920000000000003</v>
      </c>
      <c r="N12">
        <f t="shared" si="1"/>
        <v>0</v>
      </c>
      <c r="O12">
        <f t="shared" si="2"/>
        <v>1037.159408</v>
      </c>
      <c r="Q12">
        <v>4446.16</v>
      </c>
      <c r="R12">
        <v>4717.18</v>
      </c>
      <c r="S12">
        <v>354.23</v>
      </c>
      <c r="T12">
        <f t="shared" si="3"/>
        <v>0</v>
      </c>
      <c r="U12">
        <f t="shared" si="4"/>
        <v>0</v>
      </c>
    </row>
    <row r="13" spans="1:21" ht="12.75">
      <c r="A13" s="9" t="s">
        <v>21</v>
      </c>
      <c r="B13" s="18"/>
      <c r="C13">
        <f>IF(B13&lt;15*C45,B13,15*C45)</f>
        <v>0</v>
      </c>
      <c r="D13" s="12">
        <f t="shared" si="0"/>
        <v>0</v>
      </c>
      <c r="J13">
        <v>10298.36</v>
      </c>
      <c r="K13" s="21">
        <v>20770.29</v>
      </c>
      <c r="L13">
        <v>1090.62</v>
      </c>
      <c r="M13" s="6">
        <v>0.2136</v>
      </c>
      <c r="N13">
        <f t="shared" si="1"/>
        <v>1170.2308559999997</v>
      </c>
      <c r="O13">
        <f t="shared" si="2"/>
        <v>0</v>
      </c>
      <c r="Q13">
        <v>4717.19</v>
      </c>
      <c r="R13">
        <v>5335.42</v>
      </c>
      <c r="S13">
        <v>324.87</v>
      </c>
      <c r="T13">
        <f t="shared" si="3"/>
        <v>0</v>
      </c>
      <c r="U13">
        <f t="shared" si="4"/>
        <v>0</v>
      </c>
    </row>
    <row r="14" spans="1:21" ht="12.75">
      <c r="A14" s="9" t="s">
        <v>22</v>
      </c>
      <c r="B14" s="18">
        <v>10000</v>
      </c>
      <c r="C14">
        <f>IF(B14&lt;30*C45,B14,30*C45)</f>
        <v>1942.8000000000002</v>
      </c>
      <c r="D14" s="12">
        <f t="shared" si="0"/>
        <v>8057.2</v>
      </c>
      <c r="J14">
        <v>20770.3</v>
      </c>
      <c r="K14">
        <v>32736.83</v>
      </c>
      <c r="L14">
        <v>3327.42</v>
      </c>
      <c r="M14" s="6">
        <v>0.2352</v>
      </c>
      <c r="N14">
        <f t="shared" si="1"/>
        <v>0</v>
      </c>
      <c r="O14">
        <f t="shared" si="2"/>
        <v>0</v>
      </c>
      <c r="Q14">
        <v>5335.43</v>
      </c>
      <c r="R14">
        <v>6224.67</v>
      </c>
      <c r="S14">
        <v>294.63</v>
      </c>
      <c r="T14">
        <f t="shared" si="3"/>
        <v>0</v>
      </c>
      <c r="U14">
        <f t="shared" si="4"/>
        <v>0</v>
      </c>
    </row>
    <row r="15" spans="1:21" ht="12.75">
      <c r="A15" s="9" t="s">
        <v>23</v>
      </c>
      <c r="B15" s="18"/>
      <c r="C15" s="18"/>
      <c r="D15" s="12">
        <f t="shared" si="0"/>
        <v>0</v>
      </c>
      <c r="J15">
        <v>32736.84</v>
      </c>
      <c r="K15" s="17" t="s">
        <v>25</v>
      </c>
      <c r="L15">
        <v>6141.95</v>
      </c>
      <c r="M15" s="6">
        <v>0.3</v>
      </c>
      <c r="N15">
        <f>IF($D$22&gt;K14,($D$22-J15)*M15+L15,0)</f>
        <v>0</v>
      </c>
      <c r="O15">
        <f>IF($D$28&gt;K14,($D$28-J15)*M15+L15,0)</f>
        <v>0</v>
      </c>
      <c r="Q15">
        <v>6224.68</v>
      </c>
      <c r="R15">
        <v>7113.9</v>
      </c>
      <c r="S15">
        <v>253.54</v>
      </c>
      <c r="T15">
        <f t="shared" si="3"/>
        <v>0</v>
      </c>
      <c r="U15">
        <f t="shared" si="4"/>
        <v>0</v>
      </c>
    </row>
    <row r="16" spans="1:21" ht="12.75">
      <c r="A16" s="10" t="s">
        <v>24</v>
      </c>
      <c r="B16" s="4">
        <f>SUM(B8:B15)</f>
        <v>20000</v>
      </c>
      <c r="C16" s="4">
        <f>SUM(C8:C15)</f>
        <v>1942.8000000000002</v>
      </c>
      <c r="D16" s="13">
        <f>SUM(D8:D15)</f>
        <v>18057.2</v>
      </c>
      <c r="L16" s="14"/>
      <c r="M16" s="14"/>
      <c r="N16">
        <f>SUM(N8:N15)</f>
        <v>1170.2308559999997</v>
      </c>
      <c r="O16">
        <f>SUM(O8:O15)</f>
        <v>1037.159408</v>
      </c>
      <c r="Q16">
        <v>7113.91</v>
      </c>
      <c r="R16">
        <v>7382.33</v>
      </c>
      <c r="S16">
        <v>217.61</v>
      </c>
      <c r="T16">
        <f t="shared" si="3"/>
        <v>0</v>
      </c>
      <c r="U16">
        <f t="shared" si="4"/>
        <v>0</v>
      </c>
    </row>
    <row r="17" spans="17:21" ht="12.75">
      <c r="Q17">
        <v>7382.34</v>
      </c>
      <c r="R17" s="17" t="s">
        <v>25</v>
      </c>
      <c r="S17">
        <v>0</v>
      </c>
      <c r="T17">
        <f>IF($D$22&gt;R16,S17,0)</f>
        <v>0</v>
      </c>
      <c r="U17">
        <f>IF($D$28&gt;R16,S17,0)</f>
        <v>0</v>
      </c>
    </row>
    <row r="18" spans="1:21" ht="12.75">
      <c r="A18" t="s">
        <v>26</v>
      </c>
      <c r="T18">
        <f>SUM(T7:T17)</f>
        <v>0</v>
      </c>
      <c r="U18">
        <f>SUM(U7:U17)</f>
        <v>0</v>
      </c>
    </row>
    <row r="20" spans="1:4" ht="12.75">
      <c r="A20" s="1" t="s">
        <v>27</v>
      </c>
      <c r="D20">
        <f>ROUND(SUM(D13:D15)/365*30.4,2)</f>
        <v>671.07</v>
      </c>
    </row>
    <row r="21" ht="12.75">
      <c r="A21" s="1"/>
    </row>
    <row r="22" spans="1:4" ht="12.75">
      <c r="A22" s="1" t="s">
        <v>28</v>
      </c>
      <c r="D22">
        <f>D20+SUM(D8:D12)</f>
        <v>10671.07</v>
      </c>
    </row>
    <row r="23" ht="12.75">
      <c r="A23" s="1" t="s">
        <v>29</v>
      </c>
    </row>
    <row r="24" spans="1:4" ht="12.75">
      <c r="A24" s="1" t="s">
        <v>30</v>
      </c>
      <c r="D24">
        <f>ROUND(N16,2)</f>
        <v>1170.23</v>
      </c>
    </row>
    <row r="25" spans="1:4" ht="12.75">
      <c r="A25" s="1" t="s">
        <v>47</v>
      </c>
      <c r="D25">
        <f>ROUND(T18,2)</f>
        <v>0</v>
      </c>
    </row>
    <row r="26" spans="1:4" ht="12.75">
      <c r="A26" s="1" t="s">
        <v>48</v>
      </c>
      <c r="D26" s="4">
        <f>IF(C43=1,D24-D25,IF(D24-D25&lt;0,0,D24-D25))</f>
        <v>1170.23</v>
      </c>
    </row>
    <row r="28" spans="1:4" ht="12.75">
      <c r="A28" s="1" t="s">
        <v>32</v>
      </c>
      <c r="D28">
        <f>SUM(D8:D12)</f>
        <v>10000</v>
      </c>
    </row>
    <row r="29" ht="12.75">
      <c r="A29" s="1" t="s">
        <v>29</v>
      </c>
    </row>
    <row r="30" spans="1:4" ht="12.75">
      <c r="A30" s="1" t="s">
        <v>30</v>
      </c>
      <c r="D30">
        <f>ROUND(O16,2)</f>
        <v>1037.16</v>
      </c>
    </row>
    <row r="31" spans="1:4" ht="12.75">
      <c r="A31" s="1" t="s">
        <v>31</v>
      </c>
      <c r="D31">
        <f>ROUND(U18,2)</f>
        <v>0</v>
      </c>
    </row>
    <row r="32" spans="1:4" ht="12.75">
      <c r="A32" s="1" t="s">
        <v>33</v>
      </c>
      <c r="D32" s="4">
        <f>IF(C43=1,D30-D31,IF(D30-D31&lt;0,0,D30-D31))</f>
        <v>1037.16</v>
      </c>
    </row>
    <row r="34" spans="1:4" ht="13.5" thickBot="1">
      <c r="A34" s="1" t="s">
        <v>34</v>
      </c>
      <c r="D34" s="15">
        <f>D26-D32</f>
        <v>133.06999999999994</v>
      </c>
    </row>
    <row r="35" ht="13.5" thickTop="1">
      <c r="C35" s="18"/>
    </row>
    <row r="36" spans="1:4" ht="12.75">
      <c r="A36" t="s">
        <v>35</v>
      </c>
      <c r="C36" s="18"/>
      <c r="D36" s="6">
        <f>IF(D34=0,0,INT(D34/D20*10000)/10000)</f>
        <v>0.1982</v>
      </c>
    </row>
    <row r="37" ht="12.75">
      <c r="C37" s="18"/>
    </row>
    <row r="38" spans="1:4" ht="13.5" thickBot="1">
      <c r="A38" s="1" t="s">
        <v>36</v>
      </c>
      <c r="C38" s="18"/>
      <c r="D38" s="5">
        <f>SUM(D13:D15)*D36</f>
        <v>1596.9370399999998</v>
      </c>
    </row>
    <row r="39" spans="1:4" ht="13.5" thickTop="1">
      <c r="A39" s="18"/>
      <c r="B39" s="18"/>
      <c r="C39" s="18"/>
      <c r="D39" s="18"/>
    </row>
    <row r="40" spans="1:4" ht="12.75">
      <c r="A40" s="18"/>
      <c r="B40" s="18"/>
      <c r="C40" s="18"/>
      <c r="D40" s="18"/>
    </row>
    <row r="41" spans="1:4" ht="12.75">
      <c r="A41" s="18"/>
      <c r="B41" s="18"/>
      <c r="C41" s="18"/>
      <c r="D41" s="18"/>
    </row>
    <row r="42" ht="12.75">
      <c r="A42" t="s">
        <v>37</v>
      </c>
    </row>
    <row r="43" spans="1:3" ht="12.75">
      <c r="A43" s="1" t="s">
        <v>40</v>
      </c>
      <c r="C43" s="19" t="s">
        <v>39</v>
      </c>
    </row>
    <row r="44" spans="1:3" ht="12.75">
      <c r="A44" s="1" t="s">
        <v>50</v>
      </c>
      <c r="C44" s="23">
        <v>1</v>
      </c>
    </row>
    <row r="45" spans="1:3" ht="12.75">
      <c r="A45" t="s">
        <v>38</v>
      </c>
      <c r="C45">
        <f>IF(C44=1,64.76,IF(C44=2,61.38,IF(C44=10,62.33,IF(C44=20,60.57,IF(C44=30,59.08,"ERROR EN ZONA")))))</f>
        <v>64.76</v>
      </c>
    </row>
  </sheetData>
  <printOptions gridLines="1" horizontalCentered="1"/>
  <pageMargins left="0.7874015748031497" right="0.7874015748031497" top="1.1811023622047245" bottom="0.7874015748031497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Salvador</cp:lastModifiedBy>
  <cp:lastPrinted>2009-01-09T19:55:01Z</cp:lastPrinted>
  <dcterms:created xsi:type="dcterms:W3CDTF">2006-10-11T17:53:47Z</dcterms:created>
  <dcterms:modified xsi:type="dcterms:W3CDTF">2013-01-03T16:55:29Z</dcterms:modified>
  <cp:category/>
  <cp:version/>
  <cp:contentType/>
  <cp:contentStatus/>
</cp:coreProperties>
</file>